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EstaPastaDeTrabalho" defaultThemeVersion="124226"/>
  <bookViews>
    <workbookView xWindow="0" yWindow="0" windowWidth="20490" windowHeight="9195" tabRatio="986" firstSheet="1" activeTab="2"/>
  </bookViews>
  <sheets>
    <sheet name="CPU" sheetId="68" state="hidden" r:id="rId1"/>
    <sheet name="Entrada de dados" sheetId="69" r:id="rId2"/>
    <sheet name="Quadro Resumo" sheetId="67" r:id="rId3"/>
    <sheet name="1" sheetId="65" r:id="rId4"/>
    <sheet name="2" sheetId="85" r:id="rId5"/>
    <sheet name="3" sheetId="86" r:id="rId6"/>
    <sheet name="4" sheetId="87" r:id="rId7"/>
    <sheet name="5" sheetId="88" r:id="rId8"/>
    <sheet name="6" sheetId="89" r:id="rId9"/>
    <sheet name="7" sheetId="90" r:id="rId10"/>
    <sheet name="8" sheetId="91" r:id="rId11"/>
    <sheet name="9" sheetId="92" r:id="rId12"/>
    <sheet name="10" sheetId="93" r:id="rId13"/>
    <sheet name="insumos" sheetId="70" r:id="rId14"/>
  </sheets>
  <definedNames>
    <definedName name="_xlnm.Print_Area" localSheetId="3">'1'!$A$1:$D$142</definedName>
    <definedName name="_xlnm.Print_Area" localSheetId="12">'10'!$A$1:$D$142</definedName>
    <definedName name="_xlnm.Print_Area" localSheetId="4">'2'!$A$1:$D$142</definedName>
    <definedName name="_xlnm.Print_Area" localSheetId="5">'3'!$A$1:$D$142</definedName>
    <definedName name="_xlnm.Print_Area" localSheetId="6">'4'!$A$1:$D$142</definedName>
    <definedName name="_xlnm.Print_Area" localSheetId="7">'5'!$A$1:$D$142</definedName>
    <definedName name="_xlnm.Print_Area" localSheetId="8">'6'!$A$1:$D$142</definedName>
    <definedName name="_xlnm.Print_Area" localSheetId="9">'7'!$A$1:$D$142</definedName>
    <definedName name="_xlnm.Print_Area" localSheetId="10">'8'!$A$1:$D$142</definedName>
    <definedName name="_xlnm.Print_Area" localSheetId="11">'9'!$A$1:$D$142</definedName>
    <definedName name="_xlnm.Print_Area" localSheetId="0">CPU!$B$2:$I$10</definedName>
    <definedName name="_xlnm.Print_Area" localSheetId="2">'Quadro Resumo'!$B$2:$J$17</definedName>
  </definedNames>
  <calcPr calcId="12451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7" i="85"/>
  <c r="C117" i="93"/>
  <c r="C117" i="92"/>
  <c r="C117" i="91"/>
  <c r="C117" i="90"/>
  <c r="C117" i="89"/>
  <c r="C117" i="88"/>
  <c r="C117" i="87"/>
  <c r="C117" i="86"/>
  <c r="F162" i="70"/>
  <c r="E99"/>
  <c r="F99" s="1"/>
  <c r="E95"/>
  <c r="F95" s="1"/>
  <c r="E91"/>
  <c r="F91" s="1"/>
  <c r="E83"/>
  <c r="F83" s="1"/>
  <c r="E79"/>
  <c r="F79" s="1"/>
  <c r="E75"/>
  <c r="F75" s="1"/>
  <c r="E71"/>
  <c r="F71" s="1"/>
  <c r="E67"/>
  <c r="F67" s="1"/>
  <c r="E63"/>
  <c r="F63" s="1"/>
  <c r="E61"/>
  <c r="F61" s="1"/>
  <c r="E59"/>
  <c r="F59" s="1"/>
  <c r="C88" i="86"/>
  <c r="C87"/>
  <c r="C86"/>
  <c r="C85"/>
  <c r="C84"/>
  <c r="C88" i="87"/>
  <c r="C87"/>
  <c r="C86"/>
  <c r="C85"/>
  <c r="C84"/>
  <c r="C88" i="88"/>
  <c r="C87"/>
  <c r="C90" s="1"/>
  <c r="C86"/>
  <c r="C85"/>
  <c r="C84"/>
  <c r="C88" i="89"/>
  <c r="C87"/>
  <c r="C86"/>
  <c r="C85"/>
  <c r="C84"/>
  <c r="C90" s="1"/>
  <c r="C88" i="90"/>
  <c r="C87"/>
  <c r="C86"/>
  <c r="C85"/>
  <c r="C90" s="1"/>
  <c r="C84"/>
  <c r="C88" i="91"/>
  <c r="C87"/>
  <c r="C86"/>
  <c r="C90" s="1"/>
  <c r="C85"/>
  <c r="C84"/>
  <c r="C88" i="92"/>
  <c r="C87"/>
  <c r="C86"/>
  <c r="C85"/>
  <c r="C84"/>
  <c r="C88" i="93"/>
  <c r="C87"/>
  <c r="C86"/>
  <c r="C85"/>
  <c r="C84"/>
  <c r="C90" s="1"/>
  <c r="C88" i="85"/>
  <c r="C87"/>
  <c r="C86"/>
  <c r="C85"/>
  <c r="C90" s="1"/>
  <c r="C84"/>
  <c r="C88" i="65"/>
  <c r="C87"/>
  <c r="C86"/>
  <c r="C85"/>
  <c r="C84"/>
  <c r="C76"/>
  <c r="C83" i="85"/>
  <c r="C83" i="86"/>
  <c r="C83" i="87"/>
  <c r="C83" i="88"/>
  <c r="C83" i="89"/>
  <c r="C83" i="90"/>
  <c r="C83" i="91"/>
  <c r="C83" i="92"/>
  <c r="C83" i="93"/>
  <c r="C83" i="65"/>
  <c r="D23" i="93"/>
  <c r="C122"/>
  <c r="C74"/>
  <c r="C71"/>
  <c r="C43"/>
  <c r="C49" s="1"/>
  <c r="C36" s="1"/>
  <c r="C35"/>
  <c r="C37" s="1"/>
  <c r="D23" i="92"/>
  <c r="C122"/>
  <c r="C74"/>
  <c r="C75" s="1"/>
  <c r="C71"/>
  <c r="C49"/>
  <c r="C43"/>
  <c r="C35"/>
  <c r="C122" i="91"/>
  <c r="C74"/>
  <c r="C71"/>
  <c r="C43"/>
  <c r="C49" s="1"/>
  <c r="C75" s="1"/>
  <c r="C35"/>
  <c r="C122" i="90"/>
  <c r="C74"/>
  <c r="C71"/>
  <c r="C43"/>
  <c r="C49" s="1"/>
  <c r="C75" s="1"/>
  <c r="C35"/>
  <c r="C36" s="1"/>
  <c r="C122" i="89"/>
  <c r="D95"/>
  <c r="D100" s="1"/>
  <c r="C74"/>
  <c r="C71"/>
  <c r="C43"/>
  <c r="C49" s="1"/>
  <c r="C75" s="1"/>
  <c r="C35"/>
  <c r="C122" i="88"/>
  <c r="D95"/>
  <c r="D100" s="1"/>
  <c r="C74"/>
  <c r="C71"/>
  <c r="C43"/>
  <c r="C49" s="1"/>
  <c r="C75" s="1"/>
  <c r="C35"/>
  <c r="C36" s="1"/>
  <c r="C122" i="87"/>
  <c r="D100"/>
  <c r="D95"/>
  <c r="C74"/>
  <c r="C72"/>
  <c r="C71"/>
  <c r="C49"/>
  <c r="C75" s="1"/>
  <c r="C43"/>
  <c r="C35"/>
  <c r="C36" s="1"/>
  <c r="A14" i="86"/>
  <c r="C122"/>
  <c r="D100"/>
  <c r="D95"/>
  <c r="C90"/>
  <c r="C74"/>
  <c r="C72"/>
  <c r="C71"/>
  <c r="C43"/>
  <c r="C49" s="1"/>
  <c r="C75" s="1"/>
  <c r="C35"/>
  <c r="C122" i="85"/>
  <c r="D95"/>
  <c r="D100" s="1"/>
  <c r="C74"/>
  <c r="C71"/>
  <c r="C43"/>
  <c r="C49" s="1"/>
  <c r="C75" s="1"/>
  <c r="C35"/>
  <c r="C36" s="1"/>
  <c r="D13" i="67"/>
  <c r="D12"/>
  <c r="D11"/>
  <c r="D10"/>
  <c r="D9"/>
  <c r="A14" i="89" s="1"/>
  <c r="D6" i="67"/>
  <c r="D7"/>
  <c r="A14" i="87" s="1"/>
  <c r="D8" i="67"/>
  <c r="A14" i="88" s="1"/>
  <c r="D5" i="67"/>
  <c r="A14" i="85" s="1"/>
  <c r="D4" i="67"/>
  <c r="A14" i="65" s="1"/>
  <c r="F164" i="70"/>
  <c r="E164"/>
  <c r="D164"/>
  <c r="E162"/>
  <c r="F165" s="1"/>
  <c r="E163"/>
  <c r="F163" s="1"/>
  <c r="E146"/>
  <c r="F146" s="1"/>
  <c r="E121"/>
  <c r="F121" s="1"/>
  <c r="E120"/>
  <c r="F120" s="1"/>
  <c r="E119"/>
  <c r="F119" s="1"/>
  <c r="E64"/>
  <c r="F64" s="1"/>
  <c r="E62"/>
  <c r="F62" s="1"/>
  <c r="E50"/>
  <c r="F50" s="1"/>
  <c r="E51"/>
  <c r="F51" s="1"/>
  <c r="E52"/>
  <c r="F52" s="1"/>
  <c r="E44"/>
  <c r="F44" s="1"/>
  <c r="E45"/>
  <c r="F45" s="1"/>
  <c r="E53"/>
  <c r="F53" s="1"/>
  <c r="E49"/>
  <c r="F49" s="1"/>
  <c r="E48"/>
  <c r="F48" s="1"/>
  <c r="E47"/>
  <c r="F47" s="1"/>
  <c r="E46"/>
  <c r="F46" s="1"/>
  <c r="E36"/>
  <c r="F36" s="1"/>
  <c r="E33"/>
  <c r="F33" s="1"/>
  <c r="E39"/>
  <c r="F39" s="1"/>
  <c r="E38"/>
  <c r="F38" s="1"/>
  <c r="E37"/>
  <c r="F37" s="1"/>
  <c r="E35"/>
  <c r="F35" s="1"/>
  <c r="E34"/>
  <c r="F34" s="1"/>
  <c r="E32"/>
  <c r="F32" s="1"/>
  <c r="E27"/>
  <c r="F27" s="1"/>
  <c r="E26"/>
  <c r="F26" s="1"/>
  <c r="E25"/>
  <c r="F25" s="1"/>
  <c r="E24"/>
  <c r="F24" s="1"/>
  <c r="E23"/>
  <c r="F23" s="1"/>
  <c r="E18"/>
  <c r="F18" s="1"/>
  <c r="E17"/>
  <c r="F17" s="1"/>
  <c r="E16"/>
  <c r="F16" s="1"/>
  <c r="E15"/>
  <c r="F15" s="1"/>
  <c r="E14"/>
  <c r="F14" s="1"/>
  <c r="E9"/>
  <c r="F9" s="1"/>
  <c r="E8"/>
  <c r="F8" s="1"/>
  <c r="E7"/>
  <c r="F7" s="1"/>
  <c r="E6"/>
  <c r="F6" s="1"/>
  <c r="E5"/>
  <c r="F5" s="1"/>
  <c r="E4"/>
  <c r="F4" s="1"/>
  <c r="E3"/>
  <c r="F3" s="1"/>
  <c r="E157"/>
  <c r="F157" s="1"/>
  <c r="E156"/>
  <c r="F156" s="1"/>
  <c r="E155"/>
  <c r="F155" s="1"/>
  <c r="E154"/>
  <c r="F154" s="1"/>
  <c r="E153"/>
  <c r="F153" s="1"/>
  <c r="E152"/>
  <c r="F152" s="1"/>
  <c r="E151"/>
  <c r="F151" s="1"/>
  <c r="E150"/>
  <c r="F150" s="1"/>
  <c r="E149"/>
  <c r="F149" s="1"/>
  <c r="E148"/>
  <c r="F148" s="1"/>
  <c r="E147"/>
  <c r="F147" s="1"/>
  <c r="E115"/>
  <c r="F115" s="1"/>
  <c r="E114"/>
  <c r="F114" s="1"/>
  <c r="E113"/>
  <c r="F113" s="1"/>
  <c r="E112"/>
  <c r="F112" s="1"/>
  <c r="E111"/>
  <c r="F111" s="1"/>
  <c r="E109"/>
  <c r="F109" s="1"/>
  <c r="E108"/>
  <c r="F108" s="1"/>
  <c r="E107"/>
  <c r="F107" s="1"/>
  <c r="E86"/>
  <c r="F86" s="1"/>
  <c r="E85"/>
  <c r="F85" s="1"/>
  <c r="E84"/>
  <c r="F84" s="1"/>
  <c r="E134"/>
  <c r="F134" s="1"/>
  <c r="E133"/>
  <c r="F133" s="1"/>
  <c r="E132"/>
  <c r="F132" s="1"/>
  <c r="E131"/>
  <c r="F131" s="1"/>
  <c r="E130"/>
  <c r="F130" s="1"/>
  <c r="E129"/>
  <c r="F129" s="1"/>
  <c r="E117"/>
  <c r="F117" s="1"/>
  <c r="E110"/>
  <c r="F110" s="1"/>
  <c r="E102"/>
  <c r="F102" s="1"/>
  <c r="E101"/>
  <c r="F101" s="1"/>
  <c r="E100"/>
  <c r="F100" s="1"/>
  <c r="E98"/>
  <c r="F98" s="1"/>
  <c r="E97"/>
  <c r="F97" s="1"/>
  <c r="E96"/>
  <c r="F96" s="1"/>
  <c r="E94"/>
  <c r="F94" s="1"/>
  <c r="E93"/>
  <c r="F93" s="1"/>
  <c r="E92"/>
  <c r="F92" s="1"/>
  <c r="E90"/>
  <c r="F90" s="1"/>
  <c r="E89"/>
  <c r="F89" s="1"/>
  <c r="E88"/>
  <c r="F88" s="1"/>
  <c r="E82"/>
  <c r="F82" s="1"/>
  <c r="E81"/>
  <c r="F81" s="1"/>
  <c r="E80"/>
  <c r="F80" s="1"/>
  <c r="E78"/>
  <c r="F78" s="1"/>
  <c r="E77"/>
  <c r="F77" s="1"/>
  <c r="E76"/>
  <c r="F76" s="1"/>
  <c r="E74"/>
  <c r="F74" s="1"/>
  <c r="E73"/>
  <c r="F73" s="1"/>
  <c r="E72"/>
  <c r="F72" s="1"/>
  <c r="E70"/>
  <c r="F70" s="1"/>
  <c r="E69"/>
  <c r="F69" s="1"/>
  <c r="E68"/>
  <c r="F68" s="1"/>
  <c r="E66"/>
  <c r="F66" s="1"/>
  <c r="E65"/>
  <c r="F65" s="1"/>
  <c r="E60"/>
  <c r="F60" s="1"/>
  <c r="E58"/>
  <c r="F58" s="1"/>
  <c r="E124"/>
  <c r="F124" s="1"/>
  <c r="E118"/>
  <c r="F118" s="1"/>
  <c r="E123"/>
  <c r="F123" s="1"/>
  <c r="E122"/>
  <c r="F122" s="1"/>
  <c r="E116"/>
  <c r="F116" s="1"/>
  <c r="E145"/>
  <c r="F145" s="1"/>
  <c r="E144"/>
  <c r="F144" s="1"/>
  <c r="E143"/>
  <c r="F143" s="1"/>
  <c r="E142"/>
  <c r="F142" s="1"/>
  <c r="E141"/>
  <c r="F141" s="1"/>
  <c r="E140"/>
  <c r="F140" s="1"/>
  <c r="E139"/>
  <c r="F139" s="1"/>
  <c r="D14" i="88" l="1"/>
  <c r="D140" s="1"/>
  <c r="D56"/>
  <c r="F57"/>
  <c r="D54" s="1"/>
  <c r="D10"/>
  <c r="D21"/>
  <c r="D53" s="1"/>
  <c r="D108"/>
  <c r="D107"/>
  <c r="D14" i="89"/>
  <c r="D140" s="1"/>
  <c r="D56"/>
  <c r="D14" i="65"/>
  <c r="D10"/>
  <c r="D106"/>
  <c r="D107"/>
  <c r="D108"/>
  <c r="D14" i="85"/>
  <c r="D140" s="1"/>
  <c r="D108"/>
  <c r="D57"/>
  <c r="D107"/>
  <c r="D21"/>
  <c r="D53" s="1"/>
  <c r="D56"/>
  <c r="D14" i="87"/>
  <c r="D140" s="1"/>
  <c r="D107"/>
  <c r="A14" i="92"/>
  <c r="D14" s="1"/>
  <c r="D140" s="1"/>
  <c r="D107" i="86"/>
  <c r="D14"/>
  <c r="D140" s="1"/>
  <c r="A14" i="91"/>
  <c r="A14" i="93"/>
  <c r="D14" s="1"/>
  <c r="D140" s="1"/>
  <c r="A14" i="90"/>
  <c r="N4" i="69"/>
  <c r="N7"/>
  <c r="N3"/>
  <c r="D110" i="85" s="1"/>
  <c r="N6" i="69"/>
  <c r="D110" i="88" s="1"/>
  <c r="N2" i="69"/>
  <c r="D110" i="65" s="1"/>
  <c r="N5" i="69"/>
  <c r="D110" i="87" s="1"/>
  <c r="D107" i="93"/>
  <c r="E87" i="70"/>
  <c r="F87" s="1"/>
  <c r="C90" i="92"/>
  <c r="C90" i="87"/>
  <c r="C75" i="93"/>
  <c r="D57"/>
  <c r="D21"/>
  <c r="F57"/>
  <c r="D54" s="1"/>
  <c r="D55"/>
  <c r="D58"/>
  <c r="C72"/>
  <c r="C77" s="1"/>
  <c r="D110"/>
  <c r="D10"/>
  <c r="D56"/>
  <c r="D57" i="92"/>
  <c r="D10"/>
  <c r="C36"/>
  <c r="C37" s="1"/>
  <c r="F57"/>
  <c r="D54" s="1"/>
  <c r="D55"/>
  <c r="D58"/>
  <c r="C72"/>
  <c r="C77" s="1"/>
  <c r="D21"/>
  <c r="C77" i="91"/>
  <c r="D10"/>
  <c r="C36"/>
  <c r="C37" s="1"/>
  <c r="F57"/>
  <c r="D54" s="1"/>
  <c r="D55"/>
  <c r="D58"/>
  <c r="C72"/>
  <c r="D57" i="90"/>
  <c r="C37"/>
  <c r="D110"/>
  <c r="D55"/>
  <c r="D58"/>
  <c r="C72"/>
  <c r="C77" s="1"/>
  <c r="D21" i="89"/>
  <c r="D53" s="1"/>
  <c r="D108"/>
  <c r="D57"/>
  <c r="D10"/>
  <c r="C36"/>
  <c r="C37" s="1"/>
  <c r="F57"/>
  <c r="D54" s="1"/>
  <c r="D110"/>
  <c r="D55"/>
  <c r="D58"/>
  <c r="C72"/>
  <c r="C77" s="1"/>
  <c r="D27" i="88"/>
  <c r="D57"/>
  <c r="C37"/>
  <c r="D106"/>
  <c r="D55"/>
  <c r="D58"/>
  <c r="C72"/>
  <c r="C77" s="1"/>
  <c r="C77" i="87"/>
  <c r="C37"/>
  <c r="D108"/>
  <c r="D57"/>
  <c r="D55"/>
  <c r="D58"/>
  <c r="D21"/>
  <c r="D56"/>
  <c r="D10"/>
  <c r="F57"/>
  <c r="D54" s="1"/>
  <c r="D106"/>
  <c r="C77" i="86"/>
  <c r="C36"/>
  <c r="D21"/>
  <c r="D56"/>
  <c r="D108"/>
  <c r="D57"/>
  <c r="C37"/>
  <c r="D10"/>
  <c r="F57"/>
  <c r="D54" s="1"/>
  <c r="D106"/>
  <c r="D110"/>
  <c r="D55"/>
  <c r="D58"/>
  <c r="C37" i="85"/>
  <c r="D27"/>
  <c r="D10"/>
  <c r="F57"/>
  <c r="D54" s="1"/>
  <c r="D106"/>
  <c r="D55"/>
  <c r="D58"/>
  <c r="C72"/>
  <c r="C77" s="1"/>
  <c r="D21" i="65"/>
  <c r="F158" i="70"/>
  <c r="F135"/>
  <c r="L7" i="69" s="1"/>
  <c r="F125" i="70"/>
  <c r="K7" i="69" s="1"/>
  <c r="D107" i="90" s="1"/>
  <c r="F103" i="70"/>
  <c r="F54"/>
  <c r="F19"/>
  <c r="I3" i="69" s="1"/>
  <c r="D105" i="85" s="1"/>
  <c r="F40" i="70"/>
  <c r="I5" i="69" s="1"/>
  <c r="D105" i="87" s="1"/>
  <c r="F28" i="70"/>
  <c r="I2" i="69" s="1"/>
  <c r="D105" i="65" s="1"/>
  <c r="F10" i="70"/>
  <c r="I7" i="69" s="1"/>
  <c r="D105" i="91" s="1"/>
  <c r="H4" i="69"/>
  <c r="C74" i="65"/>
  <c r="C71"/>
  <c r="C72" s="1"/>
  <c r="D107" i="91" l="1"/>
  <c r="D107" i="92"/>
  <c r="D107" i="89"/>
  <c r="D14" i="91"/>
  <c r="D140" s="1"/>
  <c r="D56"/>
  <c r="D21"/>
  <c r="D57"/>
  <c r="D60" i="88"/>
  <c r="D66" s="1"/>
  <c r="D110" i="92"/>
  <c r="D25" i="93"/>
  <c r="D24"/>
  <c r="D27" s="1"/>
  <c r="D27" i="89"/>
  <c r="D14" i="90"/>
  <c r="D140" s="1"/>
  <c r="D10"/>
  <c r="F57"/>
  <c r="D54" s="1"/>
  <c r="D21"/>
  <c r="D56"/>
  <c r="D56" i="92"/>
  <c r="D110" i="91"/>
  <c r="D108"/>
  <c r="D108" i="90"/>
  <c r="D108" i="93"/>
  <c r="D108" i="92"/>
  <c r="D105" i="90"/>
  <c r="D105" i="93"/>
  <c r="D105" i="89"/>
  <c r="D105" i="92"/>
  <c r="D53" i="93"/>
  <c r="D60" s="1"/>
  <c r="D66" s="1"/>
  <c r="D27" i="92"/>
  <c r="D53"/>
  <c r="D60" i="89"/>
  <c r="D66" s="1"/>
  <c r="D74"/>
  <c r="D45"/>
  <c r="D42"/>
  <c r="D36"/>
  <c r="D34"/>
  <c r="C94"/>
  <c r="D46"/>
  <c r="D76"/>
  <c r="D71"/>
  <c r="D48"/>
  <c r="D44"/>
  <c r="D41"/>
  <c r="D33"/>
  <c r="D127"/>
  <c r="D72"/>
  <c r="D75"/>
  <c r="D73"/>
  <c r="D47"/>
  <c r="D43"/>
  <c r="D74" i="88"/>
  <c r="D45"/>
  <c r="D42"/>
  <c r="D36"/>
  <c r="D34"/>
  <c r="D48"/>
  <c r="D44"/>
  <c r="D41"/>
  <c r="D33"/>
  <c r="D76"/>
  <c r="D71"/>
  <c r="D75"/>
  <c r="D73"/>
  <c r="D47"/>
  <c r="D43"/>
  <c r="D127"/>
  <c r="C94"/>
  <c r="D72"/>
  <c r="D46"/>
  <c r="D53" i="87"/>
  <c r="D60" s="1"/>
  <c r="D66" s="1"/>
  <c r="D27"/>
  <c r="D53" i="86"/>
  <c r="D60" s="1"/>
  <c r="D66" s="1"/>
  <c r="D27"/>
  <c r="D60" i="85"/>
  <c r="D66" s="1"/>
  <c r="D74"/>
  <c r="D45"/>
  <c r="D42"/>
  <c r="D36"/>
  <c r="D34"/>
  <c r="D75"/>
  <c r="D73"/>
  <c r="D46"/>
  <c r="D76"/>
  <c r="D71"/>
  <c r="D48"/>
  <c r="D44"/>
  <c r="D41"/>
  <c r="D33"/>
  <c r="D47"/>
  <c r="D43"/>
  <c r="D127"/>
  <c r="C94"/>
  <c r="D72"/>
  <c r="M4" i="69"/>
  <c r="D109" i="86" s="1"/>
  <c r="M7" i="69"/>
  <c r="M3"/>
  <c r="D109" i="85" s="1"/>
  <c r="D112" s="1"/>
  <c r="D131" s="1"/>
  <c r="M6" i="69"/>
  <c r="D109" i="88" s="1"/>
  <c r="M2" i="69"/>
  <c r="D109" i="65" s="1"/>
  <c r="M5" i="69"/>
  <c r="D109" i="87" s="1"/>
  <c r="D112" s="1"/>
  <c r="D131" s="1"/>
  <c r="J7" i="69"/>
  <c r="I4"/>
  <c r="D105" i="86" s="1"/>
  <c r="I6" i="69"/>
  <c r="D105" i="88" s="1"/>
  <c r="F57" i="65"/>
  <c r="D54" s="1"/>
  <c r="D57"/>
  <c r="D58"/>
  <c r="D56"/>
  <c r="D55"/>
  <c r="C43"/>
  <c r="H7" i="69"/>
  <c r="H6"/>
  <c r="H5"/>
  <c r="H3"/>
  <c r="H2"/>
  <c r="D24" i="91" l="1"/>
  <c r="D27" s="1"/>
  <c r="D25"/>
  <c r="D53"/>
  <c r="D60" s="1"/>
  <c r="D66" s="1"/>
  <c r="D35" i="85"/>
  <c r="D37" s="1"/>
  <c r="D64" s="1"/>
  <c r="D67" s="1"/>
  <c r="D49" i="88"/>
  <c r="D65" s="1"/>
  <c r="D35"/>
  <c r="D37" s="1"/>
  <c r="D64" s="1"/>
  <c r="D67" s="1"/>
  <c r="D35" i="89"/>
  <c r="D53" i="90"/>
  <c r="D60" s="1"/>
  <c r="D66" s="1"/>
  <c r="D27"/>
  <c r="D60" i="92"/>
  <c r="D66" s="1"/>
  <c r="D112" i="88"/>
  <c r="D131" s="1"/>
  <c r="D109" i="91"/>
  <c r="D109" i="93"/>
  <c r="D109" i="89"/>
  <c r="D109" i="90"/>
  <c r="D109" i="92"/>
  <c r="D112" i="86"/>
  <c r="D131" s="1"/>
  <c r="D106" i="89"/>
  <c r="D112" s="1"/>
  <c r="D131" s="1"/>
  <c r="D106" i="93"/>
  <c r="D112" s="1"/>
  <c r="D131" s="1"/>
  <c r="D106" i="92"/>
  <c r="D106" i="90"/>
  <c r="D106" i="91"/>
  <c r="D46" i="93"/>
  <c r="D76"/>
  <c r="D47"/>
  <c r="D43"/>
  <c r="D45"/>
  <c r="D42"/>
  <c r="D36"/>
  <c r="D34"/>
  <c r="D48"/>
  <c r="D44"/>
  <c r="D41"/>
  <c r="D33"/>
  <c r="D127"/>
  <c r="D94"/>
  <c r="D73"/>
  <c r="D46" i="92"/>
  <c r="D73"/>
  <c r="D47"/>
  <c r="D43"/>
  <c r="D45"/>
  <c r="D42"/>
  <c r="D36"/>
  <c r="D34"/>
  <c r="D76"/>
  <c r="D48"/>
  <c r="D44"/>
  <c r="D41"/>
  <c r="D33"/>
  <c r="D35" s="1"/>
  <c r="D37" s="1"/>
  <c r="D64" s="1"/>
  <c r="D127"/>
  <c r="D94"/>
  <c r="D75" s="1"/>
  <c r="D49" i="89"/>
  <c r="D65" s="1"/>
  <c r="D37"/>
  <c r="D64" s="1"/>
  <c r="D77"/>
  <c r="D129" s="1"/>
  <c r="D77" i="88"/>
  <c r="D129" s="1"/>
  <c r="D74" i="87"/>
  <c r="D76"/>
  <c r="D71"/>
  <c r="D48"/>
  <c r="D44"/>
  <c r="D41"/>
  <c r="D33"/>
  <c r="D46"/>
  <c r="D45"/>
  <c r="D42"/>
  <c r="D36"/>
  <c r="D34"/>
  <c r="D75"/>
  <c r="D73"/>
  <c r="D47"/>
  <c r="D43"/>
  <c r="D127"/>
  <c r="C94"/>
  <c r="D72"/>
  <c r="D74" i="86"/>
  <c r="D45"/>
  <c r="D42"/>
  <c r="D36"/>
  <c r="D34"/>
  <c r="D76"/>
  <c r="D71"/>
  <c r="D48"/>
  <c r="D44"/>
  <c r="D41"/>
  <c r="D33"/>
  <c r="C94"/>
  <c r="D72"/>
  <c r="D46"/>
  <c r="D75"/>
  <c r="D73"/>
  <c r="D47"/>
  <c r="D43"/>
  <c r="D127"/>
  <c r="D77" i="85"/>
  <c r="D129" s="1"/>
  <c r="D49"/>
  <c r="D65" s="1"/>
  <c r="D27" i="65"/>
  <c r="C94" s="1"/>
  <c r="D53"/>
  <c r="D74" i="91" l="1"/>
  <c r="D94"/>
  <c r="D72" s="1"/>
  <c r="D41"/>
  <c r="D73"/>
  <c r="D34"/>
  <c r="D46"/>
  <c r="D43"/>
  <c r="D44"/>
  <c r="D36"/>
  <c r="D33"/>
  <c r="D76"/>
  <c r="D45"/>
  <c r="D127"/>
  <c r="D48"/>
  <c r="D47"/>
  <c r="D42"/>
  <c r="D94" i="90"/>
  <c r="D42"/>
  <c r="D46"/>
  <c r="D33"/>
  <c r="D35" s="1"/>
  <c r="D37" s="1"/>
  <c r="D64" s="1"/>
  <c r="D34"/>
  <c r="D45"/>
  <c r="D127"/>
  <c r="D43"/>
  <c r="D47"/>
  <c r="D73"/>
  <c r="D36"/>
  <c r="D71"/>
  <c r="D76"/>
  <c r="D72"/>
  <c r="D41"/>
  <c r="D44"/>
  <c r="D48"/>
  <c r="D112" i="92"/>
  <c r="D131" s="1"/>
  <c r="D35" i="86"/>
  <c r="D37" s="1"/>
  <c r="D64" s="1"/>
  <c r="D71" i="92"/>
  <c r="D112" i="91"/>
  <c r="D131" s="1"/>
  <c r="D112" i="90"/>
  <c r="D131" s="1"/>
  <c r="C94" i="93"/>
  <c r="D95"/>
  <c r="D100" s="1"/>
  <c r="D74"/>
  <c r="D71"/>
  <c r="D35"/>
  <c r="D37" s="1"/>
  <c r="D64" s="1"/>
  <c r="D72"/>
  <c r="D49"/>
  <c r="D65" s="1"/>
  <c r="D75"/>
  <c r="D72" i="92"/>
  <c r="D77" s="1"/>
  <c r="D129" s="1"/>
  <c r="D49"/>
  <c r="D65" s="1"/>
  <c r="D67" s="1"/>
  <c r="D74"/>
  <c r="C94"/>
  <c r="D95"/>
  <c r="D100" s="1"/>
  <c r="D67" i="89"/>
  <c r="D128" s="1"/>
  <c r="D128" i="88"/>
  <c r="D87"/>
  <c r="D88"/>
  <c r="D83"/>
  <c r="D84"/>
  <c r="D85"/>
  <c r="D89"/>
  <c r="D86"/>
  <c r="D35" i="87"/>
  <c r="D37" s="1"/>
  <c r="D64" s="1"/>
  <c r="D77"/>
  <c r="D129" s="1"/>
  <c r="D49"/>
  <c r="D65" s="1"/>
  <c r="D77" i="86"/>
  <c r="D129" s="1"/>
  <c r="D49"/>
  <c r="D65" s="1"/>
  <c r="D128" i="85"/>
  <c r="D86"/>
  <c r="D83"/>
  <c r="D84"/>
  <c r="D89"/>
  <c r="D87"/>
  <c r="D85"/>
  <c r="D88"/>
  <c r="C90" i="65"/>
  <c r="D95" i="90" l="1"/>
  <c r="D100" s="1"/>
  <c r="C94"/>
  <c r="D49"/>
  <c r="D65" s="1"/>
  <c r="D67" s="1"/>
  <c r="D74"/>
  <c r="D35" i="91"/>
  <c r="D37" s="1"/>
  <c r="D64" s="1"/>
  <c r="D95"/>
  <c r="D100" s="1"/>
  <c r="C94"/>
  <c r="D87" i="89"/>
  <c r="D75" i="91"/>
  <c r="D71"/>
  <c r="D77" s="1"/>
  <c r="D129" s="1"/>
  <c r="D86" i="89"/>
  <c r="D85"/>
  <c r="D83"/>
  <c r="D88"/>
  <c r="D75" i="90"/>
  <c r="D77" s="1"/>
  <c r="D129" s="1"/>
  <c r="D49" i="91"/>
  <c r="D65" s="1"/>
  <c r="D77" i="93"/>
  <c r="D129" s="1"/>
  <c r="D67"/>
  <c r="D128" i="92"/>
  <c r="D88"/>
  <c r="D85"/>
  <c r="D87"/>
  <c r="D86"/>
  <c r="D89"/>
  <c r="D83"/>
  <c r="D84"/>
  <c r="D89" i="89"/>
  <c r="D84"/>
  <c r="D90" i="88"/>
  <c r="D99" s="1"/>
  <c r="D101" s="1"/>
  <c r="D130" s="1"/>
  <c r="D132" s="1"/>
  <c r="D67" i="87"/>
  <c r="D67" i="86"/>
  <c r="D90" i="85"/>
  <c r="D99" s="1"/>
  <c r="D101" s="1"/>
  <c r="D130" s="1"/>
  <c r="D132" s="1"/>
  <c r="D140" i="65"/>
  <c r="C122"/>
  <c r="D95"/>
  <c r="D100" s="1"/>
  <c r="C49"/>
  <c r="C75" s="1"/>
  <c r="D43"/>
  <c r="D86" i="90" l="1"/>
  <c r="D89"/>
  <c r="D88"/>
  <c r="D85"/>
  <c r="D83"/>
  <c r="D87"/>
  <c r="D128"/>
  <c r="D84"/>
  <c r="D90" i="89"/>
  <c r="D99" s="1"/>
  <c r="D101" s="1"/>
  <c r="D130" s="1"/>
  <c r="D132" s="1"/>
  <c r="D116" s="1"/>
  <c r="D67" i="91"/>
  <c r="D128" i="93"/>
  <c r="D88"/>
  <c r="D87"/>
  <c r="D89"/>
  <c r="D84"/>
  <c r="D86"/>
  <c r="D85"/>
  <c r="D83"/>
  <c r="D90" i="92"/>
  <c r="D99" s="1"/>
  <c r="D101" s="1"/>
  <c r="D130" s="1"/>
  <c r="D132" s="1"/>
  <c r="D116" i="88"/>
  <c r="D128" i="87"/>
  <c r="D84"/>
  <c r="D87"/>
  <c r="D89"/>
  <c r="D86"/>
  <c r="D85"/>
  <c r="D88"/>
  <c r="D83"/>
  <c r="D128" i="86"/>
  <c r="D84"/>
  <c r="D86"/>
  <c r="D87"/>
  <c r="D83"/>
  <c r="D85"/>
  <c r="D88"/>
  <c r="D89"/>
  <c r="D116" i="85"/>
  <c r="D127" i="65"/>
  <c r="D34"/>
  <c r="D33"/>
  <c r="C35"/>
  <c r="C36" s="1"/>
  <c r="D72"/>
  <c r="D74"/>
  <c r="D76"/>
  <c r="D71"/>
  <c r="D60"/>
  <c r="D66" s="1"/>
  <c r="C77"/>
  <c r="D75"/>
  <c r="D73"/>
  <c r="D42"/>
  <c r="D41"/>
  <c r="D44"/>
  <c r="D48"/>
  <c r="D45"/>
  <c r="D46"/>
  <c r="D47"/>
  <c r="D90" i="90" l="1"/>
  <c r="D99" s="1"/>
  <c r="D101" s="1"/>
  <c r="D130" s="1"/>
  <c r="D132" s="1"/>
  <c r="D116" s="1"/>
  <c r="D87" i="91"/>
  <c r="D86"/>
  <c r="D128"/>
  <c r="D88"/>
  <c r="D85"/>
  <c r="D83"/>
  <c r="D90" s="1"/>
  <c r="D99" s="1"/>
  <c r="D101" s="1"/>
  <c r="D130" s="1"/>
  <c r="D132" s="1"/>
  <c r="D116" s="1"/>
  <c r="D84"/>
  <c r="D89"/>
  <c r="D90" i="87"/>
  <c r="D99" s="1"/>
  <c r="D101" s="1"/>
  <c r="D130" s="1"/>
  <c r="D90" i="93"/>
  <c r="D99" s="1"/>
  <c r="D101" s="1"/>
  <c r="D130" s="1"/>
  <c r="D132" s="1"/>
  <c r="D116" i="92"/>
  <c r="D117" i="89"/>
  <c r="D121" s="1"/>
  <c r="D117" i="88"/>
  <c r="D121" s="1"/>
  <c r="D132" i="87"/>
  <c r="D90" i="86"/>
  <c r="D99" s="1"/>
  <c r="D101" s="1"/>
  <c r="D130" s="1"/>
  <c r="D132" s="1"/>
  <c r="D117" i="85"/>
  <c r="D119" s="1"/>
  <c r="C37" i="65"/>
  <c r="D35"/>
  <c r="D112"/>
  <c r="D131" s="1"/>
  <c r="D77"/>
  <c r="D129" s="1"/>
  <c r="D49"/>
  <c r="D117" i="91" l="1"/>
  <c r="D121" s="1"/>
  <c r="D117" i="90"/>
  <c r="D121" s="1"/>
  <c r="D116" i="93"/>
  <c r="D117" s="1"/>
  <c r="D117" i="92"/>
  <c r="D121" s="1"/>
  <c r="D119" i="89"/>
  <c r="D120"/>
  <c r="D120" i="88"/>
  <c r="D119"/>
  <c r="D116" i="87"/>
  <c r="D116" i="86"/>
  <c r="D117" s="1"/>
  <c r="D121" i="85"/>
  <c r="D120"/>
  <c r="D36" i="65"/>
  <c r="D37" s="1"/>
  <c r="D64" s="1"/>
  <c r="D65"/>
  <c r="D119" i="90" l="1"/>
  <c r="D122" s="1"/>
  <c r="D123" s="1"/>
  <c r="D133" s="1"/>
  <c r="D134" s="1"/>
  <c r="D139" s="1"/>
  <c r="D141" s="1"/>
  <c r="D142" s="1"/>
  <c r="D119" i="91"/>
  <c r="D122" s="1"/>
  <c r="D123" s="1"/>
  <c r="D133" s="1"/>
  <c r="D134" s="1"/>
  <c r="D120" i="90"/>
  <c r="D120" i="91"/>
  <c r="D122" i="85"/>
  <c r="D123" s="1"/>
  <c r="D133" s="1"/>
  <c r="D134" s="1"/>
  <c r="H5" i="67" s="1"/>
  <c r="I5" s="1"/>
  <c r="J5" s="1"/>
  <c r="D122" i="88"/>
  <c r="D123" s="1"/>
  <c r="D133" s="1"/>
  <c r="D134" s="1"/>
  <c r="D139" s="1"/>
  <c r="D141" s="1"/>
  <c r="D142" s="1"/>
  <c r="D121" i="93"/>
  <c r="D119"/>
  <c r="D120"/>
  <c r="D120" i="92"/>
  <c r="D119"/>
  <c r="D122" i="89"/>
  <c r="D123" s="1"/>
  <c r="D133" s="1"/>
  <c r="D134" s="1"/>
  <c r="D117" i="87"/>
  <c r="D120" s="1"/>
  <c r="D119" i="86"/>
  <c r="D121"/>
  <c r="D120"/>
  <c r="D67" i="65"/>
  <c r="D139" i="85" l="1"/>
  <c r="D141" s="1"/>
  <c r="D142" s="1"/>
  <c r="H10" i="67"/>
  <c r="I10" s="1"/>
  <c r="J10" s="1"/>
  <c r="H8"/>
  <c r="I8" s="1"/>
  <c r="J8" s="1"/>
  <c r="D122" i="92"/>
  <c r="D123" s="1"/>
  <c r="D133" s="1"/>
  <c r="D134" s="1"/>
  <c r="D139" s="1"/>
  <c r="D141" s="1"/>
  <c r="D142" s="1"/>
  <c r="D122" i="86"/>
  <c r="D123" s="1"/>
  <c r="D133" s="1"/>
  <c r="D134" s="1"/>
  <c r="D139" s="1"/>
  <c r="D141" s="1"/>
  <c r="D142" s="1"/>
  <c r="D139" i="89"/>
  <c r="D141" s="1"/>
  <c r="D142" s="1"/>
  <c r="H9" i="67"/>
  <c r="I9" s="1"/>
  <c r="J9" s="1"/>
  <c r="D139" i="91"/>
  <c r="D141" s="1"/>
  <c r="D142" s="1"/>
  <c r="H11" i="67"/>
  <c r="I11" s="1"/>
  <c r="J11" s="1"/>
  <c r="D122" i="93"/>
  <c r="D123" s="1"/>
  <c r="D133" s="1"/>
  <c r="D134" s="1"/>
  <c r="D119" i="87"/>
  <c r="D121"/>
  <c r="D83" i="65"/>
  <c r="D128"/>
  <c r="D87"/>
  <c r="D88"/>
  <c r="D86"/>
  <c r="D85"/>
  <c r="D84"/>
  <c r="D89"/>
  <c r="H6" i="67" l="1"/>
  <c r="I6" s="1"/>
  <c r="J6" s="1"/>
  <c r="H12"/>
  <c r="I12" s="1"/>
  <c r="J12" s="1"/>
  <c r="D139" i="93"/>
  <c r="D141" s="1"/>
  <c r="D142" s="1"/>
  <c r="H13" i="67"/>
  <c r="I13" s="1"/>
  <c r="J13" s="1"/>
  <c r="D122" i="87"/>
  <c r="D123" s="1"/>
  <c r="D133" s="1"/>
  <c r="D134" s="1"/>
  <c r="D90" i="65"/>
  <c r="D99" s="1"/>
  <c r="D101" s="1"/>
  <c r="D139" i="87" l="1"/>
  <c r="D141" s="1"/>
  <c r="D142" s="1"/>
  <c r="H7" i="67"/>
  <c r="I7" s="1"/>
  <c r="J7" s="1"/>
  <c r="D130" i="65"/>
  <c r="D132" l="1"/>
  <c r="D116" s="1"/>
  <c r="D117" s="1"/>
  <c r="D120" l="1"/>
  <c r="D119"/>
  <c r="D121"/>
  <c r="D122" l="1"/>
  <c r="D123" s="1"/>
  <c r="D133" s="1"/>
  <c r="D134" s="1"/>
  <c r="H4" i="67" s="1"/>
  <c r="I4" s="1"/>
  <c r="J4" s="1"/>
  <c r="D139" i="65" l="1"/>
  <c r="D141" s="1"/>
  <c r="D142" s="1"/>
  <c r="J16" i="67" l="1"/>
  <c r="E117" i="93" l="1"/>
</calcChain>
</file>

<file path=xl/sharedStrings.xml><?xml version="1.0" encoding="utf-8"?>
<sst xmlns="http://schemas.openxmlformats.org/spreadsheetml/2006/main" count="2886" uniqueCount="326">
  <si>
    <t>Discriminação dos Serviços (dados referentes à contratação)</t>
  </si>
  <si>
    <t>A</t>
  </si>
  <si>
    <t>Data da apresentação da proposta (dia/mês/ano)</t>
  </si>
  <si>
    <t>B</t>
  </si>
  <si>
    <t>C</t>
  </si>
  <si>
    <t>D</t>
  </si>
  <si>
    <t>Nº de meses de execução contratual</t>
  </si>
  <si>
    <t>Módulo 1: COMPOSIÇÃO DA REMUNERAÇÃO</t>
  </si>
  <si>
    <t>Composição da Remuneração</t>
  </si>
  <si>
    <t>Valor (R$)</t>
  </si>
  <si>
    <t xml:space="preserve">Salário Base </t>
  </si>
  <si>
    <t xml:space="preserve">Adicional noturno </t>
  </si>
  <si>
    <t>E</t>
  </si>
  <si>
    <t>F</t>
  </si>
  <si>
    <t>G</t>
  </si>
  <si>
    <t>H</t>
  </si>
  <si>
    <t>Total da Remuneração</t>
  </si>
  <si>
    <t>Benefícios Mensais e Diários</t>
  </si>
  <si>
    <t>Total dos Benefícios Mensais e Diários</t>
  </si>
  <si>
    <t>Total de Insumos diversos</t>
  </si>
  <si>
    <t>4.1</t>
  </si>
  <si>
    <t>4.2</t>
  </si>
  <si>
    <t>TOTAL</t>
  </si>
  <si>
    <t>Provisão para Rescisão</t>
  </si>
  <si>
    <t>Custos Indiretos, Tributos e Lucro</t>
  </si>
  <si>
    <t>Custos Indiretos</t>
  </si>
  <si>
    <t>Módulo 1 - Composição da Remuneração</t>
  </si>
  <si>
    <t>13º (décimo terceiro) Salário</t>
  </si>
  <si>
    <t>Ausência por acidente de trabalho</t>
  </si>
  <si>
    <t>Adicional de hora noturna reduzida</t>
  </si>
  <si>
    <t>Módulo 2: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</si>
  <si>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</si>
  <si>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</si>
  <si>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</si>
  <si>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 xml:space="preserve">TOTAL </t>
  </si>
  <si>
    <t>Submódulo 2.2 - Encargos Previdenciários (GPS), Fundo de Garantia por Tempo de Serviço (FGTS) e outras contribuições.</t>
  </si>
  <si>
    <t>2.2</t>
  </si>
  <si>
    <t>GPS, FGTS e outras contribuições</t>
  </si>
  <si>
    <t>Percentual (%)</t>
  </si>
  <si>
    <t>INSS</t>
  </si>
  <si>
    <t>Salário Educação</t>
  </si>
  <si>
    <t>SAT</t>
  </si>
  <si>
    <t>SESC ou SESI</t>
  </si>
  <si>
    <t>SENAI - SENAC</t>
  </si>
  <si>
    <t>SEBRAE</t>
  </si>
  <si>
    <t>INCRA</t>
  </si>
  <si>
    <t>FGTS</t>
  </si>
  <si>
    <t>Submódulo 2.3 - Benefícios Mensais e Diários.</t>
  </si>
  <si>
    <t>2.3</t>
  </si>
  <si>
    <t xml:space="preserve">E </t>
  </si>
  <si>
    <t>Quadro-Resumo do Módulo 2 - Encargos e Benefícios anuais, mensais e diários</t>
  </si>
  <si>
    <t>Encargos e Benefícios Anuais, Mensais e Diários</t>
  </si>
  <si>
    <t>Módulo 3 - Provisão para Rescisão</t>
  </si>
  <si>
    <t>Aviso Prévio Indenizado</t>
  </si>
  <si>
    <t>Incidência do FGTS sobre o Aviso Prévio Indenizado</t>
  </si>
  <si>
    <t>Incidência dos encargos do submódulo 2.2 sobre o Aviso Prévio Trabalhado</t>
  </si>
  <si>
    <t>Módulo 4 - Custo de Reposição do Profissional Ausente</t>
  </si>
  <si>
    <t>Submódulo 4.1 - Ausências Legais</t>
  </si>
  <si>
    <t>Ausências Legais</t>
  </si>
  <si>
    <t>Férias</t>
  </si>
  <si>
    <t>Submódulo 4.2 - Intrajornada</t>
  </si>
  <si>
    <t>Intrajornada</t>
  </si>
  <si>
    <t>Intervalo para repouso ou alimentação</t>
  </si>
  <si>
    <t>Quadro-Resumo do Módulo 4 - Custo de Reposição do Profissional Ausente</t>
  </si>
  <si>
    <t>Custo de Reposição do Profissional Ausente</t>
  </si>
  <si>
    <t>Módulo 5 - INSUMOS DIVERSOS</t>
  </si>
  <si>
    <t>Lucro</t>
  </si>
  <si>
    <t>Tributos</t>
  </si>
  <si>
    <t>QUADRO-RESUMO DO CUSTO POR EMPREGADO</t>
  </si>
  <si>
    <t>Mão de obra vinculada à execução contratual (valor por empregado)</t>
  </si>
  <si>
    <t>Módulo 2 - Encargos e Benefícios Anuais, Mensais e Diários</t>
  </si>
  <si>
    <t>Módulo 5 - Insumos Diversos</t>
  </si>
  <si>
    <t>Subtotal (A + B +C+ D+E)</t>
  </si>
  <si>
    <t>Módulo 6 – Custos Indiretos, Tributos e Lucro</t>
  </si>
  <si>
    <t>QUADRO DEMONSTRATIVO DO VALOR GLOBAL DA PROPOSTA</t>
  </si>
  <si>
    <t>VALOR GLOBAL DA PROPOSTA</t>
  </si>
  <si>
    <t>DESCRIÇÃO</t>
  </si>
  <si>
    <t>VALOR (R$)</t>
  </si>
  <si>
    <t>Valor global da proposta (Valor mensal do serviço multiplicado pelo número de meses do contrato).</t>
  </si>
  <si>
    <t>MÓDULO 6 - CUSTOS INDIRETOS, TRIBUTOS E LUCRO</t>
  </si>
  <si>
    <t>TOTAL DE TRIBUTOS</t>
  </si>
  <si>
    <t>TOTAL DOS CUSTOS INDIRETOS, TRIBUTOS E LUCRO</t>
  </si>
  <si>
    <t>VALOR TOTAL POR EMPREGADO</t>
  </si>
  <si>
    <t>Materiais</t>
  </si>
  <si>
    <t>Outros (especificar)</t>
  </si>
  <si>
    <t>Auxílio Doença</t>
  </si>
  <si>
    <t>C.3. Tributos Municipais (ISS)</t>
  </si>
  <si>
    <t>C.1. Tributos Federais (COFINS)</t>
  </si>
  <si>
    <t>C.1. Tributos Federais (PIS)</t>
  </si>
  <si>
    <t>Uniformes e EPI's</t>
  </si>
  <si>
    <t>UNIDADE DE MEDIDA</t>
  </si>
  <si>
    <t>IDENTIFICAÇÃO DO SERVIÇO</t>
  </si>
  <si>
    <t>Posto de Serviço</t>
  </si>
  <si>
    <t>PLANILHA DE CUSTOS E FORMAÇÃO DE PREÇOS</t>
  </si>
  <si>
    <t>Subtotal</t>
  </si>
  <si>
    <t>Incidência do submódulo 2.2 sobre o submódulo 2.1</t>
  </si>
  <si>
    <t>Quantidade de Postos</t>
  </si>
  <si>
    <t>Aviso Prévio Trabalhado</t>
  </si>
  <si>
    <t>Adicional de insalubridade</t>
  </si>
  <si>
    <t>Adicional de periculosidade</t>
  </si>
  <si>
    <t>QTDE</t>
  </si>
  <si>
    <t>Transporte</t>
  </si>
  <si>
    <t>13º Salário, Férias e Adicional de Férias</t>
  </si>
  <si>
    <t>Insumos Diversos</t>
  </si>
  <si>
    <t>Qtde Dias</t>
  </si>
  <si>
    <t>V.A. (R$)</t>
  </si>
  <si>
    <t>% PAT</t>
  </si>
  <si>
    <t>Item</t>
  </si>
  <si>
    <t>Multa do FGTS sobre o Aviso Prévio Indenizado</t>
  </si>
  <si>
    <t>Multa do FGTS sobre o Aviso Prévio Trabalhado</t>
  </si>
  <si>
    <t>Licença Paternidade</t>
  </si>
  <si>
    <t>Licença Maternidade</t>
  </si>
  <si>
    <t>Alimentação</t>
  </si>
  <si>
    <t xml:space="preserve">1/12 (um doze avos) do total da remuneração. </t>
  </si>
  <si>
    <t>Art. 195, I, "A", Constituição Federal de 1988; art. 22, inciso I, da Lei 8.212/91</t>
  </si>
  <si>
    <t>Art. 212, § 5º da CF/88; Decreto-Lei nº 1.422/75</t>
  </si>
  <si>
    <t>Art. 22, inciso II, da Lei nº 8.212/91   -  De acordo com o percentual constante na GEFIP.</t>
  </si>
  <si>
    <t>Art. 30 da Lei nº 8.036/90; Decreto n.º 2.318/86</t>
  </si>
  <si>
    <t>Decreto-Lei nº 2.318/86</t>
  </si>
  <si>
    <t>Art. 8º, §3º, Lei nº 8.029/90</t>
  </si>
  <si>
    <t>Lei nº 2.613/55; art. 1º, I, Decreto-Lei nº 1.146/70</t>
  </si>
  <si>
    <t>Art. 7º, Inciso III, da CF/88, c/c o art. 15, Lei nº 8.036/90</t>
  </si>
  <si>
    <t>Nota 1: Os percentuais dos encargos previdenciários, do FGTS e demais contribuições são aqueles estabelecidos pela legislação vigente.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</si>
  <si>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= 0,42%</t>
  </si>
  <si>
    <t xml:space="preserve">É a aplicação de 8% sobre o valor obtido no item A deste Módulo </t>
  </si>
  <si>
    <t>Corresponde a aplicação do percentual de 40% da multa do FGTS sobre o valor do item B deste módulo. Multa do FGTS sobre o Aviso Prévio Indenizado, estando devidamente dimensionada entre o Indenizado e o Trabalhado, totalizando 4%, de acordo com a IN 05/2017 (Conta Vinculada)</t>
  </si>
  <si>
    <t>Refere-se à indenização de sete dias corridos devida ao empregado no caso de o empregador rescindir o contrato sem justo motivo e conceder aviso prévio, conforme disposto no art. 488 da CLT. Logo a provisão representa: (((7/30)/12))x100 = 1,94%</t>
  </si>
  <si>
    <t xml:space="preserve">Calculado multiplicando-se o percentual total do submódulo 2.2 ao valor do item D deste módulo.  </t>
  </si>
  <si>
    <t>Custo total do profissional que substituirá o empregado por 30 dias no ano, em razão de férias. De acordo com realidade da empresa.</t>
  </si>
  <si>
    <t>Estimativa de 0,13  ausências por ano.  De acordo com realidade da empresa. A provisão mensal obtida pelo cálculo: (0,13/365) = 0,04%</t>
  </si>
  <si>
    <t>O artigo 27 do Decreto nº 89.312, de 23/01/84, obriga o empregador a assumir o ônus financeiro pelo prazo de 15 dias, no caso de acidente de trabalho previsto no art. 131 da CLT. De acordo ccom a realidade da empresa. Assim a provisão corresponde a: ((15/30)/12) x 0,0078 x 100 = 0,03%.</t>
  </si>
  <si>
    <t>Estimativa de 0,13 ocorrências por ano.  De acordo com realidade da empresa. A provisão mensal obtida pelo cálculo: (0,13/365) = 0,04%</t>
  </si>
  <si>
    <t>Para o cálculo utiliza-se como base o somatório dos módulos 1, 2, 3, 4 e 5 x o percentual para os custos indiretos</t>
  </si>
  <si>
    <t>Para o cálculo utiliza-se como base o somatório dos módulos 1, 2, 3, 4, 5 e o item A do módulo 6 x o percentual para os custos indiretos</t>
  </si>
  <si>
    <t>O percentual utilizado depende do enquadramento tributário da empresa. Para o cálculo utiliza-se como base o custo total do posto de trabalho, que será calculado somando-se os totais dos módulos 1, 2, 3, 4, 5 e itens A e B do módulo 6.</t>
  </si>
  <si>
    <t>(soma-se os totais dos módulos 1, 2, 3, 4, 5 e itens A e B do módulo 6)/(1-percentual total)*(percentual correspondente ao item C.1</t>
  </si>
  <si>
    <t>(soma-se os totais dos módulos 1, 2, 3, 4, 5 e itens A e B do módulo 6)/(1-percentual total)*(percentual correspondente ao item C.2</t>
  </si>
  <si>
    <t>(soma-se os totais dos módulos 1, 2, 3, 4, 5 e itens A e B do módulo 6)/(1-percentual total)*(percentual correspondente ao item C.3</t>
  </si>
  <si>
    <t>De acordo com a CCT</t>
  </si>
  <si>
    <t>Criada pelo art. 7º, inciso XIX da CF, combinado com o art. 10, § 1º dos Atos das Disposições Constitucionais Transitórias – ADCT - , concede ao empregado o direito de ausentar-se do serviço por cinco dias quando do nascimento de filho. De acordo com estimativa do IBGE para o ano corrente, nascem filhos de 1,3999% dos trabalhadores no período de um ano.
Dessa forma a provisão para este item corresponde a: (5/30/12) x 0,01399 x 100 = 0,02%.</t>
  </si>
  <si>
    <t>A provisão corresponde ao período legal de meses de afastamento na licença maternidade. De acordo com estimativa do IBGE para o ano corrente, nascem filhos de 1,3999% dos trabalhadores no período de um ano.
Dessa forma a provisão para este item corresponde a: (0,01399 * (4/12)/12) x 100 = 0,04%.</t>
  </si>
  <si>
    <t>Equipamentos</t>
  </si>
  <si>
    <t>Nº de Registro da Convenção Coletiva de Trabalho no MTE:</t>
  </si>
  <si>
    <t>Valor proposto por unidade de medida (se 12x36, multiplicar por 2)</t>
  </si>
  <si>
    <t>Valor mensal do serviço (A * B)</t>
  </si>
  <si>
    <t>Tarifa (R$)</t>
  </si>
  <si>
    <t>Descrição</t>
  </si>
  <si>
    <t>Qtde</t>
  </si>
  <si>
    <t>Unidade de Medida</t>
  </si>
  <si>
    <t>Valor Unitário</t>
  </si>
  <si>
    <t>Total Mensal</t>
  </si>
  <si>
    <t>TOTAL MENSAL</t>
  </si>
  <si>
    <t>Lote</t>
  </si>
  <si>
    <t>QUADRO RESUMO</t>
  </si>
  <si>
    <t>2) É dever do Analista de Proposta verificar todas as condições e particularidades do processo, visando a assertividade na elaboração da Planilha Externa (PEX);</t>
  </si>
  <si>
    <t>4) Todas as diretrizes anteriores devem acompanhar e respeitar as particularidades do processo.</t>
  </si>
  <si>
    <t>1) Para elaboração de Planilha Externa (PEX), deve-se, obrigatoriamente, seguir o padrão contido neste documento, salvo particularidade e condição específica de cada processo;</t>
  </si>
  <si>
    <t>3) Em casos específicos, mediante deliberação da Presidência, acompanhado de fundamentação do Jurídico, cumpre ao Analista de Proposta analisar a melhor possibilidade para fechamento do custo da Planilha Externa (PEX), seguindo a sequência de reduções abaixo:
a) Reduzir o custo do fornecimento de insumos em até 30% do inicialmente precificado;
b) Reduzir o custo do fornecimento de uniformes e EPI's para R$ 1,00 mensal por colaborador;
c) Reduzir o custo do fornecimento de insumos em até 50% do inicialmente precificado;
d) Substituir a fórmula contida na rubrica "Transporte" para o valor de R$ 1,00 mensal por colaborador, justificado pela opção da companhia no fornecimento de transporte próprio;
e) Redução de encargos: uso restrito a partir de deliberação da Gerência e Presidência, devendo o Analista de Proposta analisar, através da expertise, fatores e pontos possíveis de redução.</t>
  </si>
  <si>
    <t>Elaboração de Planilha Externa (PEX)</t>
  </si>
  <si>
    <t>Município onde será executado o serviço:</t>
  </si>
  <si>
    <t>Data base da categoria (dia / mês / ano):</t>
  </si>
  <si>
    <t xml:space="preserve"> Conforme obrigatoriedade da legislação de regência.</t>
  </si>
  <si>
    <t xml:space="preserve">Nota 2:  Os itens que contemplam o módulo 4 se referem ao custo dos dias trabalhados pelo repositor/substituto, quando o empregado alocado na prestação de serviço estiver ausente, conforme as previsões estabelecidas na legislação. </t>
  </si>
  <si>
    <t xml:space="preserve"> (conforme CCT) e legislação trabalhista.</t>
  </si>
  <si>
    <t>Conforme previsão da IN 05/2017</t>
  </si>
  <si>
    <t>DEVERÁ SER UTILIZADA A PORCENTAGEM DE 3%, PARA APRESENTAÇÃO DE TODAS AS PLANILHAS.</t>
  </si>
  <si>
    <t>DEVERÁ SER UTILIZADA A PORCENTAGEM DE 20%, PARA APRESENTAÇÃO DE TODAS AS PLANILHAS.</t>
  </si>
  <si>
    <t>PR000074/2025</t>
  </si>
  <si>
    <t>CONVENÇÃO</t>
  </si>
  <si>
    <t>ALIMENTAÇÃO</t>
  </si>
  <si>
    <t>BSF</t>
  </si>
  <si>
    <t>FFP</t>
  </si>
  <si>
    <t>MÉDICA</t>
  </si>
  <si>
    <t>ALIMENTAÇÃO NAS FÉRIAS</t>
  </si>
  <si>
    <t>Carga horaria semanal</t>
  </si>
  <si>
    <t>Benefico Social Familiar</t>
  </si>
  <si>
    <t>Fundo de Formação Profissional</t>
  </si>
  <si>
    <t>Beneficio assistencia Medica</t>
  </si>
  <si>
    <t>Vale alimentação nas férias</t>
  </si>
  <si>
    <t>Seguro de vida</t>
  </si>
  <si>
    <t>UNIFORME</t>
  </si>
  <si>
    <t>VALOR UNITÁRIO</t>
  </si>
  <si>
    <t>VALOR POSTO</t>
  </si>
  <si>
    <t>posto</t>
  </si>
  <si>
    <t>Adicional de Férias</t>
  </si>
  <si>
    <t>TOTAL 30 meses</t>
  </si>
  <si>
    <t>Total 30 meses</t>
  </si>
  <si>
    <t>EQUIPAMENTOS</t>
  </si>
  <si>
    <t>ENCERADEIRA</t>
  </si>
  <si>
    <t>LAVADORA DE ALTA PRESSÃO</t>
  </si>
  <si>
    <t>ASPIRADOR</t>
  </si>
  <si>
    <t>FURADEIRA C CONJUNTO DE BROCAS</t>
  </si>
  <si>
    <t>PARAFUSADEIRA COM CONJUNTO DE PONTAS</t>
  </si>
  <si>
    <t>JOGO DE CHAVES E FERRAMENTAS</t>
  </si>
  <si>
    <t>SECADOR DE MÃO</t>
  </si>
  <si>
    <t>CARRO FUNCIONAL</t>
  </si>
  <si>
    <t>ESCADA 3 DEGRAUS</t>
  </si>
  <si>
    <t>ESCADA 5 DEGRAUS</t>
  </si>
  <si>
    <t>PLACA DE SINALIZAÇÃO</t>
  </si>
  <si>
    <t>EXTENÇÃO ELETRICA</t>
  </si>
  <si>
    <t>MATERIAIS DE LIMPEZA</t>
  </si>
  <si>
    <t>DETERGENTE 5L</t>
  </si>
  <si>
    <t>DESINFETANTE FLORAL 5L</t>
  </si>
  <si>
    <t>LIMPADOR CLORADO</t>
  </si>
  <si>
    <t>LIMPA CARPETE</t>
  </si>
  <si>
    <t>DESINGRIPANTE</t>
  </si>
  <si>
    <t>PASTILHA ADESIVA</t>
  </si>
  <si>
    <t>ALCOOL LIQUIDO 70</t>
  </si>
  <si>
    <t>ALCOOL GEL</t>
  </si>
  <si>
    <t>QUEROSENE</t>
  </si>
  <si>
    <t>DETERGENTE DE LOUÇA</t>
  </si>
  <si>
    <t>SABÃO EM BARRA</t>
  </si>
  <si>
    <t>SABÃO EM PÓ</t>
  </si>
  <si>
    <t>SAPONACEO</t>
  </si>
  <si>
    <t>LUSTRA MOVEIS</t>
  </si>
  <si>
    <t>LIMPA COURO</t>
  </si>
  <si>
    <t>POLIDOR DE METAIS</t>
  </si>
  <si>
    <t>CERA LIQUIDA</t>
  </si>
  <si>
    <t>REMOVEDOR DE CERA</t>
  </si>
  <si>
    <t>DESODORIZADOR</t>
  </si>
  <si>
    <t>ESPONJA</t>
  </si>
  <si>
    <t>FIBRA DE LIMPEZA</t>
  </si>
  <si>
    <t>FLANELA</t>
  </si>
  <si>
    <t>SACO ALVEJADO</t>
  </si>
  <si>
    <t>SACO DE LIXO 20</t>
  </si>
  <si>
    <t>SACO DE LIXO 40</t>
  </si>
  <si>
    <t>SACO DE LIXO 60</t>
  </si>
  <si>
    <t>SACO DE LIXO 100</t>
  </si>
  <si>
    <t>SACO DE LIXO 150</t>
  </si>
  <si>
    <t>SACO DESCARTAVEL P ASPIRADOR</t>
  </si>
  <si>
    <t>DISCO VERDE</t>
  </si>
  <si>
    <t>DISCO PRETO</t>
  </si>
  <si>
    <t>DISCO RED</t>
  </si>
  <si>
    <t>LUVA P</t>
  </si>
  <si>
    <t>LUVA M</t>
  </si>
  <si>
    <t>LUVA G</t>
  </si>
  <si>
    <t>LUVA GG</t>
  </si>
  <si>
    <t>ESPONJA CANADA</t>
  </si>
  <si>
    <t>ESPANADOR</t>
  </si>
  <si>
    <t>PAPEL HIGIENICO 300M</t>
  </si>
  <si>
    <t>PAPEL HIGIENICO 30M</t>
  </si>
  <si>
    <t>PAPEL HIGIENICO 60 M</t>
  </si>
  <si>
    <t>PAPEL TOALHA 1000</t>
  </si>
  <si>
    <t>PAPEL TOALHAS BOBINA</t>
  </si>
  <si>
    <t>SABONETE LIQUIDO</t>
  </si>
  <si>
    <t>BORRIFADOR</t>
  </si>
  <si>
    <t xml:space="preserve">ESCOVA </t>
  </si>
  <si>
    <t>ESCOVA DE LIMPEZA</t>
  </si>
  <si>
    <t>ESCOVA SANITÁRIA</t>
  </si>
  <si>
    <t>VASSOURA ESFREGÃO</t>
  </si>
  <si>
    <t xml:space="preserve">VASSOURA </t>
  </si>
  <si>
    <t>RODO LIMPA VIDROS</t>
  </si>
  <si>
    <t>RODO ABRASIVO</t>
  </si>
  <si>
    <t>EXTENSÃO TELESCOPICA 3M</t>
  </si>
  <si>
    <t>EXTENSÃO TELESCOPICA 7M</t>
  </si>
  <si>
    <t>APLICADOR DE CERA</t>
  </si>
  <si>
    <t>BALDE COM EXPREMEDOR DUPLO</t>
  </si>
  <si>
    <t>CABO COM  HASTE</t>
  </si>
  <si>
    <t>CABELEIRA MOP</t>
  </si>
  <si>
    <t>CARRINHO DE MÃO</t>
  </si>
  <si>
    <t>PÁ</t>
  </si>
  <si>
    <t>CORTADEIRA</t>
  </si>
  <si>
    <t>ENXADA</t>
  </si>
  <si>
    <t>ANCINHO</t>
  </si>
  <si>
    <t xml:space="preserve">BALDE </t>
  </si>
  <si>
    <t>FOICE</t>
  </si>
  <si>
    <t>RASTELO</t>
  </si>
  <si>
    <t>TRINCHA</t>
  </si>
  <si>
    <t>CALÇA - Sarja Brim 100% algodão com identificação da empresa</t>
  </si>
  <si>
    <t>UNIFORME SERVENTE</t>
  </si>
  <si>
    <t>QTDE ANUAL</t>
  </si>
  <si>
    <t>CAMISETA MANGA CURTA - 100% algodão, com identificação da empresa</t>
  </si>
  <si>
    <t>CAMISETA MANGA LONGA - 100% algodão, com identificação da empresa</t>
  </si>
  <si>
    <t>CRACHÁ - cordão com trava de segurança</t>
  </si>
  <si>
    <t xml:space="preserve">LUVAS DE BORRACHA - confeccionada em borracha natural, revestimento interno de verniz
silver, antialérgica, superfície externa antiderrapante na palma e face palmar dos dedos, lisa
na parte dorsal e punhos, impermeáveis, resistentes a (os): produtos químicos de limpeza,
rasgamento e perfurações por punção, embalagem contendo o par, com Certificado de
Aprovação - CA emitido pelo órgão competente. gravado na peça, cor azul. </t>
  </si>
  <si>
    <t>SAPATO DE SEGURANÇA - confeccionado em couro, fechamento com elástico, solado de poliuretano monodensidad</t>
  </si>
  <si>
    <t>OCULOS DE PROTEÇÃO - confeccionado em policarbonato óptico, com armação de nylon e
hastes com comprimento regulável, filtro UVA/UVB</t>
  </si>
  <si>
    <t>VALOR MENSAL</t>
  </si>
  <si>
    <t>VALOR TOTAL</t>
  </si>
  <si>
    <t>UNIFORME ENCARREGADO</t>
  </si>
  <si>
    <t>UNIFORME SUPERVISOR</t>
  </si>
  <si>
    <t>UNIFORME COPEIRA</t>
  </si>
  <si>
    <t>JALECO - algodão 100% com identificação da empresa</t>
  </si>
  <si>
    <t>TOUCA - descartável, polipropileno não tecido, cor branca</t>
  </si>
  <si>
    <t>UNIFORME JARDINEIRO E MEIO OFICIAL</t>
  </si>
  <si>
    <t xml:space="preserve">BONÉ - brim 100% algodão, com protetor de nuca, ajuste por fivela ou velcro </t>
  </si>
  <si>
    <t xml:space="preserve">LUVAS DE VAQUETA - confeccionada em vaqueta, com reforço palmar interno, tipo petroleira, com elástico embutido no dorso, costurada com linha de nylon, conforme ABNT/EB-192. 
silver, antialérgica, superfície externa antiderrapante na palma e face palmar dos dedos, lisa
na parte dorsal e punhos, impermeáveis, resistentes a (os): produtos químicos de limpeza,
rasgamento e perfurações por punção, embalagem contendo o par, com Certificado de
Aprovação - CA emitido pelo órgão competente. gravado na peça, cor azul. </t>
  </si>
  <si>
    <t xml:space="preserve">OCULOS DE PROTEÇÃO - confeccionado em policarbonato óptico, com armação de nylon e hastes com comprimento regulável, filtro UVA/UVB
silver, antialérgica, superfície externa antiderrapante na palma e face palmar dos dedos, lisa
na parte dorsal e punhos, impermeáveis, resistentes a (os): produtos químicos de limpeza,
rasgamento e perfurações por punção, embalagem contendo o par, com Certificado de
Aprovação - CA emitido pelo órgão competente. gravado na peça, cor azul. </t>
  </si>
  <si>
    <t xml:space="preserve">PROTETOR SOLAR - FPS 50
silver, antialérgica, superfície externa antiderrapante na palma e face palmar dos dedos, lisa
na parte dorsal e punhos, impermeáveis, resistentes a (os): produtos químicos de limpeza,
rasgamento e perfurações por punção, embalagem contendo o par, com Certificado de
Aprovação - CA emitido pelo órgão competente. gravado na peça, cor azul. </t>
  </si>
  <si>
    <t>ENCARREGADO + DE 20 EMPREGADOS</t>
  </si>
  <si>
    <t>MEIO OFICIAL DE MANUTENÇÃO</t>
  </si>
  <si>
    <t>COPEIRA</t>
  </si>
  <si>
    <t>JARDINEIRO</t>
  </si>
  <si>
    <t>SERVENTE DE LIMPEZA</t>
  </si>
  <si>
    <t>SALARIO MINIMO</t>
  </si>
  <si>
    <t>SALÁRIO</t>
  </si>
  <si>
    <t xml:space="preserve">EQUIPAMENTOS </t>
  </si>
  <si>
    <t>MATERIAL DE LIMPEZA</t>
  </si>
  <si>
    <t>OLEO DE PEROBA</t>
  </si>
  <si>
    <t>MATERIAIS</t>
  </si>
  <si>
    <t>MANGUEIRA DE JARDIM 50M</t>
  </si>
  <si>
    <t>ENGATE DE MADEIRA 3/4</t>
  </si>
  <si>
    <t>CARRINHO PARA ENROLAR MANGUEIRA</t>
  </si>
  <si>
    <t>MATERIAL DE HIGIENE</t>
  </si>
  <si>
    <t>MATERIAIS DE HIGIENE</t>
  </si>
  <si>
    <t>TESOURA DE JARDIM</t>
  </si>
  <si>
    <t>TESOURA DE PODA</t>
  </si>
  <si>
    <t>VASSOURA TIPO GARI</t>
  </si>
  <si>
    <t>VEICULO</t>
  </si>
  <si>
    <t>MANUTENÇÃO VEICULO</t>
  </si>
  <si>
    <t>COMBUSTIVEL (10KM/L)</t>
  </si>
  <si>
    <t>SUPERVISOR GERAL</t>
  </si>
  <si>
    <t>CH</t>
  </si>
  <si>
    <t>12X36 D</t>
  </si>
  <si>
    <t>12X36 N</t>
  </si>
  <si>
    <t>PROCESSO LICITATÓRIO Nº: 177/2025</t>
  </si>
  <si>
    <t>PREGÃO Nº: 1772025</t>
  </si>
  <si>
    <t>PARANAGUÁ/ANTONINA</t>
  </si>
  <si>
    <t>PR000456/2025</t>
  </si>
  <si>
    <t>Cumulação de função</t>
  </si>
  <si>
    <t>Conforme decreto municipal</t>
  </si>
  <si>
    <t>Materiais de limpeza</t>
  </si>
  <si>
    <t>Materiais de Higiene</t>
  </si>
  <si>
    <t>Veiculo</t>
  </si>
  <si>
    <t>outros</t>
  </si>
  <si>
    <t xml:space="preserve">CARRO </t>
  </si>
</sst>
</file>

<file path=xl/styles.xml><?xml version="1.0" encoding="utf-8"?>
<styleSheet xmlns="http://schemas.openxmlformats.org/spreadsheetml/2006/main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0.0000"/>
    <numFmt numFmtId="167" formatCode="_-* #,##0.0000_-;\-* #,##0.0000_-;_-* &quot;-&quot;????_-;_-@_-"/>
    <numFmt numFmtId="168" formatCode="#,##0.00&quot; &quot;;#,##0.00&quot; &quot;;&quot;-&quot;#&quot; &quot;;&quot; &quot;@&quot; &quot;"/>
    <numFmt numFmtId="169" formatCode="0.000%"/>
    <numFmt numFmtId="170" formatCode="0.0000%"/>
    <numFmt numFmtId="171" formatCode="0.000000%"/>
    <numFmt numFmtId="172" formatCode="0\ &quot;MESES&quot;"/>
  </numFmts>
  <fonts count="2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Calibri"/>
      <family val="2"/>
    </font>
    <font>
      <u/>
      <sz val="11"/>
      <color rgb="FF0563C1"/>
      <name val="Calibri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22"/>
      <color theme="1"/>
      <name val="Arial"/>
      <family val="2"/>
    </font>
    <font>
      <b/>
      <sz val="10"/>
      <name val="Verdana"/>
      <family val="2"/>
    </font>
    <font>
      <sz val="10"/>
      <color indexed="8"/>
      <name val="Verdana"/>
      <family val="2"/>
    </font>
    <font>
      <sz val="10"/>
      <color theme="1"/>
      <name val="Verdana"/>
      <family val="2"/>
    </font>
    <font>
      <b/>
      <sz val="10"/>
      <color indexed="8"/>
      <name val="Verdana"/>
      <family val="2"/>
    </font>
    <font>
      <sz val="10"/>
      <name val="Verdana"/>
      <family val="2"/>
    </font>
    <font>
      <b/>
      <sz val="10"/>
      <color theme="1"/>
      <name val="Verdana"/>
      <family val="2"/>
    </font>
    <font>
      <b/>
      <sz val="10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mediumGray">
        <bgColor theme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168" fontId="6" fillId="0" borderId="0"/>
    <xf numFmtId="4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201">
    <xf numFmtId="0" fontId="0" fillId="0" borderId="0" xfId="0"/>
    <xf numFmtId="0" fontId="8" fillId="2" borderId="0" xfId="0" applyFont="1" applyFill="1" applyAlignment="1">
      <alignment vertical="center"/>
    </xf>
    <xf numFmtId="43" fontId="8" fillId="2" borderId="0" xfId="0" applyNumberFormat="1" applyFont="1" applyFill="1" applyAlignment="1">
      <alignment vertical="center"/>
    </xf>
    <xf numFmtId="166" fontId="8" fillId="2" borderId="0" xfId="0" applyNumberFormat="1" applyFont="1" applyFill="1" applyAlignment="1">
      <alignment vertical="center"/>
    </xf>
    <xf numFmtId="167" fontId="8" fillId="2" borderId="0" xfId="0" applyNumberFormat="1" applyFont="1" applyFill="1" applyAlignment="1">
      <alignment vertical="center"/>
    </xf>
    <xf numFmtId="10" fontId="8" fillId="2" borderId="0" xfId="11" applyNumberFormat="1" applyFont="1" applyFill="1" applyAlignment="1">
      <alignment vertical="center"/>
    </xf>
    <xf numFmtId="10" fontId="8" fillId="2" borderId="0" xfId="0" applyNumberFormat="1" applyFont="1" applyFill="1" applyAlignment="1">
      <alignment vertical="center"/>
    </xf>
    <xf numFmtId="44" fontId="8" fillId="2" borderId="0" xfId="2" applyFont="1" applyFill="1" applyAlignment="1">
      <alignment vertical="center"/>
    </xf>
    <xf numFmtId="169" fontId="8" fillId="2" borderId="0" xfId="11" applyNumberFormat="1" applyFont="1" applyFill="1" applyAlignment="1">
      <alignment vertical="center"/>
    </xf>
    <xf numFmtId="170" fontId="8" fillId="2" borderId="0" xfId="11" applyNumberFormat="1" applyFont="1" applyFill="1" applyAlignment="1">
      <alignment vertical="center"/>
    </xf>
    <xf numFmtId="10" fontId="8" fillId="3" borderId="1" xfId="1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10" fontId="7" fillId="2" borderId="0" xfId="0" applyNumberFormat="1" applyFont="1" applyFill="1" applyAlignment="1">
      <alignment vertical="center"/>
    </xf>
    <xf numFmtId="170" fontId="7" fillId="3" borderId="1" xfId="11" applyNumberFormat="1" applyFont="1" applyFill="1" applyBorder="1" applyAlignment="1">
      <alignment horizontal="center" vertical="center"/>
    </xf>
    <xf numFmtId="44" fontId="8" fillId="3" borderId="1" xfId="2" applyFont="1" applyFill="1" applyBorder="1" applyAlignment="1">
      <alignment horizontal="center" vertical="center"/>
    </xf>
    <xf numFmtId="2" fontId="8" fillId="3" borderId="1" xfId="11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4" fontId="1" fillId="2" borderId="1" xfId="2" applyFont="1" applyFill="1" applyBorder="1" applyAlignment="1">
      <alignment horizontal="center" vertical="center"/>
    </xf>
    <xf numFmtId="44" fontId="7" fillId="2" borderId="1" xfId="2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9" fillId="0" borderId="0" xfId="21" applyFont="1" applyAlignment="1">
      <alignment vertical="center" wrapText="1"/>
    </xf>
    <xf numFmtId="0" fontId="9" fillId="0" borderId="1" xfId="21" applyFont="1" applyBorder="1" applyAlignment="1">
      <alignment vertical="center" wrapText="1"/>
    </xf>
    <xf numFmtId="0" fontId="14" fillId="2" borderId="3" xfId="0" applyFont="1" applyFill="1" applyBorder="1" applyAlignment="1">
      <alignment horizontal="right" vertical="center" wrapText="1"/>
    </xf>
    <xf numFmtId="0" fontId="15" fillId="2" borderId="0" xfId="0" applyFont="1" applyFill="1" applyAlignment="1">
      <alignment horizontal="center" vertical="center" wrapText="1"/>
    </xf>
    <xf numFmtId="20" fontId="15" fillId="2" borderId="0" xfId="0" applyNumberFormat="1" applyFont="1" applyFill="1" applyAlignment="1">
      <alignment vertical="center" wrapText="1"/>
    </xf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vertical="center"/>
    </xf>
    <xf numFmtId="9" fontId="15" fillId="2" borderId="0" xfId="0" applyNumberFormat="1" applyFont="1" applyFill="1" applyAlignment="1" applyProtection="1">
      <alignment vertical="center"/>
      <protection locked="0"/>
    </xf>
    <xf numFmtId="0" fontId="17" fillId="2" borderId="2" xfId="0" applyFont="1" applyFill="1" applyBorder="1" applyAlignment="1">
      <alignment horizontal="center" vertical="center" wrapText="1"/>
    </xf>
    <xf numFmtId="44" fontId="15" fillId="2" borderId="1" xfId="2" applyFont="1" applyFill="1" applyBorder="1" applyAlignment="1" applyProtection="1">
      <alignment horizontal="center" vertical="center" wrapText="1"/>
      <protection locked="0"/>
    </xf>
    <xf numFmtId="164" fontId="17" fillId="2" borderId="1" xfId="7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Alignment="1" applyProtection="1">
      <alignment vertical="center"/>
      <protection locked="0"/>
    </xf>
    <xf numFmtId="0" fontId="17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justify" vertical="center" wrapText="1"/>
    </xf>
    <xf numFmtId="10" fontId="16" fillId="2" borderId="1" xfId="0" applyNumberFormat="1" applyFont="1" applyFill="1" applyBorder="1" applyAlignment="1">
      <alignment horizontal="center" vertical="center"/>
    </xf>
    <xf numFmtId="164" fontId="15" fillId="2" borderId="1" xfId="7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>
      <alignment horizontal="justify" vertical="center" wrapText="1"/>
    </xf>
    <xf numFmtId="10" fontId="19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44" fontId="17" fillId="2" borderId="1" xfId="2" applyFont="1" applyFill="1" applyBorder="1" applyAlignment="1" applyProtection="1">
      <alignment horizontal="center" vertical="center" wrapText="1"/>
      <protection locked="0"/>
    </xf>
    <xf numFmtId="10" fontId="15" fillId="2" borderId="1" xfId="11" applyNumberFormat="1" applyFont="1" applyFill="1" applyBorder="1" applyAlignment="1" applyProtection="1">
      <alignment horizontal="center" vertical="center"/>
      <protection locked="0"/>
    </xf>
    <xf numFmtId="170" fontId="15" fillId="2" borderId="1" xfId="11" applyNumberFormat="1" applyFont="1" applyFill="1" applyBorder="1" applyAlignment="1" applyProtection="1">
      <alignment horizontal="center" vertical="center"/>
      <protection locked="0"/>
    </xf>
    <xf numFmtId="10" fontId="17" fillId="2" borderId="1" xfId="11" applyNumberFormat="1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center" vertical="center"/>
    </xf>
    <xf numFmtId="171" fontId="16" fillId="2" borderId="1" xfId="0" applyNumberFormat="1" applyFont="1" applyFill="1" applyBorder="1" applyAlignment="1">
      <alignment horizontal="center" vertical="center" wrapText="1"/>
    </xf>
    <xf numFmtId="10" fontId="19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0" fontId="16" fillId="2" borderId="0" xfId="0" applyFont="1" applyFill="1" applyAlignment="1">
      <alignment horizontal="center" vertical="center"/>
    </xf>
    <xf numFmtId="164" fontId="16" fillId="2" borderId="1" xfId="0" applyNumberFormat="1" applyFont="1" applyFill="1" applyBorder="1" applyAlignment="1">
      <alignment horizontal="justify" vertical="center" wrapText="1"/>
    </xf>
    <xf numFmtId="164" fontId="16" fillId="2" borderId="1" xfId="2" applyNumberFormat="1" applyFont="1" applyFill="1" applyBorder="1" applyAlignment="1">
      <alignment horizontal="justify" vertical="center" wrapText="1"/>
    </xf>
    <xf numFmtId="44" fontId="16" fillId="2" borderId="1" xfId="0" applyNumberFormat="1" applyFont="1" applyFill="1" applyBorder="1" applyAlignment="1">
      <alignment horizontal="justify" vertical="center" wrapText="1"/>
    </xf>
    <xf numFmtId="1" fontId="16" fillId="2" borderId="1" xfId="0" applyNumberFormat="1" applyFont="1" applyFill="1" applyBorder="1" applyAlignment="1">
      <alignment horizontal="center" vertical="center" wrapText="1"/>
    </xf>
    <xf numFmtId="44" fontId="16" fillId="2" borderId="1" xfId="2" applyFont="1" applyFill="1" applyBorder="1" applyAlignment="1">
      <alignment horizontal="justify" vertical="center" wrapText="1"/>
    </xf>
    <xf numFmtId="44" fontId="19" fillId="2" borderId="1" xfId="0" applyNumberFormat="1" applyFont="1" applyFill="1" applyBorder="1" applyAlignment="1">
      <alignment horizontal="justify" vertical="center" wrapText="1"/>
    </xf>
    <xf numFmtId="0" fontId="7" fillId="2" borderId="0" xfId="0" applyFont="1" applyFill="1" applyAlignment="1">
      <alignment vertical="center"/>
    </xf>
    <xf numFmtId="0" fontId="20" fillId="0" borderId="0" xfId="21" applyFont="1" applyAlignment="1">
      <alignment vertical="center" wrapText="1"/>
    </xf>
    <xf numFmtId="0" fontId="9" fillId="0" borderId="0" xfId="21" applyFont="1" applyAlignment="1">
      <alignment horizontal="justify" vertical="center" wrapText="1"/>
    </xf>
    <xf numFmtId="10" fontId="8" fillId="2" borderId="0" xfId="11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3" fontId="15" fillId="2" borderId="2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10" fontId="8" fillId="2" borderId="0" xfId="0" applyNumberFormat="1" applyFont="1" applyFill="1" applyAlignment="1">
      <alignment horizontal="left" vertical="center"/>
    </xf>
    <xf numFmtId="14" fontId="15" fillId="2" borderId="1" xfId="0" applyNumberFormat="1" applyFont="1" applyFill="1" applyBorder="1" applyAlignment="1">
      <alignment vertical="center" wrapText="1"/>
    </xf>
    <xf numFmtId="43" fontId="0" fillId="0" borderId="0" xfId="24" applyFont="1"/>
    <xf numFmtId="0" fontId="0" fillId="0" borderId="1" xfId="0" applyBorder="1"/>
    <xf numFmtId="0" fontId="21" fillId="7" borderId="1" xfId="0" applyFont="1" applyFill="1" applyBorder="1" applyAlignment="1">
      <alignment horizontal="center"/>
    </xf>
    <xf numFmtId="43" fontId="21" fillId="7" borderId="1" xfId="24" applyFont="1" applyFill="1" applyBorder="1"/>
    <xf numFmtId="0" fontId="21" fillId="7" borderId="1" xfId="24" applyNumberFormat="1" applyFont="1" applyFill="1" applyBorder="1" applyAlignment="1">
      <alignment horizontal="center" vertical="center"/>
    </xf>
    <xf numFmtId="172" fontId="21" fillId="7" borderId="1" xfId="24" applyNumberFormat="1" applyFont="1" applyFill="1" applyBorder="1"/>
    <xf numFmtId="43" fontId="0" fillId="0" borderId="1" xfId="24" applyFont="1" applyBorder="1"/>
    <xf numFmtId="0" fontId="0" fillId="0" borderId="1" xfId="24" applyNumberFormat="1" applyFont="1" applyBorder="1"/>
    <xf numFmtId="43" fontId="0" fillId="0" borderId="5" xfId="0" applyNumberFormat="1" applyBorder="1"/>
    <xf numFmtId="0" fontId="0" fillId="0" borderId="0" xfId="0" applyNumberFormat="1"/>
    <xf numFmtId="43" fontId="0" fillId="0" borderId="0" xfId="0" applyNumberFormat="1"/>
    <xf numFmtId="43" fontId="1" fillId="2" borderId="0" xfId="24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3" fontId="15" fillId="2" borderId="2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0" borderId="1" xfId="0" applyNumberFormat="1" applyBorder="1"/>
    <xf numFmtId="0" fontId="0" fillId="0" borderId="11" xfId="0" applyBorder="1"/>
    <xf numFmtId="43" fontId="0" fillId="0" borderId="12" xfId="24" applyFont="1" applyBorder="1"/>
    <xf numFmtId="0" fontId="0" fillId="0" borderId="11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NumberFormat="1" applyBorder="1"/>
    <xf numFmtId="43" fontId="0" fillId="0" borderId="28" xfId="24" applyFont="1" applyBorder="1"/>
    <xf numFmtId="43" fontId="0" fillId="0" borderId="29" xfId="24" applyFont="1" applyBorder="1"/>
    <xf numFmtId="0" fontId="0" fillId="0" borderId="30" xfId="0" applyBorder="1"/>
    <xf numFmtId="0" fontId="0" fillId="0" borderId="2" xfId="24" applyNumberFormat="1" applyFont="1" applyBorder="1"/>
    <xf numFmtId="43" fontId="0" fillId="0" borderId="2" xfId="24" applyFont="1" applyBorder="1"/>
    <xf numFmtId="43" fontId="0" fillId="0" borderId="31" xfId="24" applyFont="1" applyBorder="1"/>
    <xf numFmtId="0" fontId="21" fillId="7" borderId="27" xfId="0" applyFont="1" applyFill="1" applyBorder="1" applyAlignment="1">
      <alignment horizontal="center"/>
    </xf>
    <xf numFmtId="0" fontId="21" fillId="7" borderId="28" xfId="24" applyNumberFormat="1" applyFont="1" applyFill="1" applyBorder="1" applyAlignment="1">
      <alignment horizontal="center" vertical="center"/>
    </xf>
    <xf numFmtId="43" fontId="21" fillId="7" borderId="28" xfId="24" applyFont="1" applyFill="1" applyBorder="1"/>
    <xf numFmtId="172" fontId="21" fillId="7" borderId="29" xfId="24" applyNumberFormat="1" applyFont="1" applyFill="1" applyBorder="1"/>
    <xf numFmtId="43" fontId="0" fillId="0" borderId="34" xfId="0" applyNumberFormat="1" applyBorder="1" applyAlignment="1"/>
    <xf numFmtId="43" fontId="0" fillId="0" borderId="1" xfId="0" applyNumberFormat="1" applyBorder="1"/>
    <xf numFmtId="0" fontId="0" fillId="0" borderId="8" xfId="0" applyBorder="1"/>
    <xf numFmtId="43" fontId="0" fillId="0" borderId="9" xfId="24" applyFont="1" applyBorder="1"/>
    <xf numFmtId="43" fontId="0" fillId="0" borderId="10" xfId="24" applyFont="1" applyBorder="1"/>
    <xf numFmtId="0" fontId="0" fillId="0" borderId="27" xfId="0" applyBorder="1"/>
    <xf numFmtId="0" fontId="0" fillId="0" borderId="0" xfId="0" applyBorder="1" applyAlignment="1">
      <alignment horizontal="center"/>
    </xf>
    <xf numFmtId="43" fontId="0" fillId="0" borderId="0" xfId="0" applyNumberFormat="1" applyBorder="1"/>
    <xf numFmtId="44" fontId="1" fillId="2" borderId="0" xfId="0" applyNumberFormat="1" applyFont="1" applyFill="1" applyAlignment="1">
      <alignment horizontal="center" vertical="center"/>
    </xf>
    <xf numFmtId="44" fontId="8" fillId="2" borderId="0" xfId="0" applyNumberFormat="1" applyFont="1" applyFill="1" applyAlignment="1">
      <alignment vertical="center"/>
    </xf>
    <xf numFmtId="0" fontId="7" fillId="2" borderId="1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12" xfId="0" applyFont="1" applyFill="1" applyBorder="1" applyAlignment="1">
      <alignment horizontal="justify" vertical="center" wrapText="1"/>
    </xf>
    <xf numFmtId="0" fontId="12" fillId="2" borderId="13" xfId="0" applyFont="1" applyFill="1" applyBorder="1" applyAlignment="1">
      <alignment horizontal="justify" vertical="center" wrapText="1"/>
    </xf>
    <xf numFmtId="0" fontId="12" fillId="2" borderId="4" xfId="0" applyFont="1" applyFill="1" applyBorder="1" applyAlignment="1">
      <alignment horizontal="justify" vertical="center" wrapText="1"/>
    </xf>
    <xf numFmtId="0" fontId="12" fillId="2" borderId="14" xfId="0" applyFont="1" applyFill="1" applyBorder="1" applyAlignment="1">
      <alignment horizontal="justify" vertical="center" wrapText="1"/>
    </xf>
    <xf numFmtId="0" fontId="12" fillId="2" borderId="15" xfId="0" applyFont="1" applyFill="1" applyBorder="1" applyAlignment="1">
      <alignment horizontal="justify" vertical="center" wrapText="1"/>
    </xf>
    <xf numFmtId="0" fontId="12" fillId="2" borderId="16" xfId="0" applyFont="1" applyFill="1" applyBorder="1" applyAlignment="1">
      <alignment horizontal="justify" vertical="center" wrapText="1"/>
    </xf>
    <xf numFmtId="0" fontId="12" fillId="2" borderId="17" xfId="0" applyFont="1" applyFill="1" applyBorder="1" applyAlignment="1">
      <alignment horizontal="justify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justify" vertical="center" wrapText="1"/>
    </xf>
    <xf numFmtId="0" fontId="7" fillId="2" borderId="4" xfId="0" applyFont="1" applyFill="1" applyBorder="1" applyAlignment="1">
      <alignment horizontal="justify" vertical="center" wrapText="1"/>
    </xf>
    <xf numFmtId="0" fontId="7" fillId="2" borderId="14" xfId="0" applyFont="1" applyFill="1" applyBorder="1" applyAlignment="1">
      <alignment horizontal="justify" vertical="center" wrapText="1"/>
    </xf>
    <xf numFmtId="0" fontId="12" fillId="2" borderId="1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2" fillId="2" borderId="12" xfId="0" applyFont="1" applyFill="1" applyBorder="1" applyAlignment="1">
      <alignment horizontal="justify" vertical="center" wrapText="1"/>
    </xf>
    <xf numFmtId="0" fontId="0" fillId="0" borderId="0" xfId="24" applyNumberFormat="1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 applyProtection="1">
      <alignment horizontal="left" vertical="center" wrapText="1"/>
      <protection locked="0"/>
    </xf>
    <xf numFmtId="0" fontId="19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5" fillId="2" borderId="1" xfId="0" applyFont="1" applyFill="1" applyBorder="1" applyAlignment="1" applyProtection="1">
      <alignment horizontal="left" vertical="center"/>
      <protection locked="0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left" vertical="center"/>
    </xf>
    <xf numFmtId="0" fontId="19" fillId="2" borderId="0" xfId="0" applyFont="1" applyFill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3" fontId="15" fillId="2" borderId="7" xfId="0" applyNumberFormat="1" applyFont="1" applyFill="1" applyBorder="1" applyAlignment="1">
      <alignment horizontal="center" vertical="center" wrapText="1"/>
    </xf>
    <xf numFmtId="3" fontId="15" fillId="2" borderId="2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20" fontId="14" fillId="2" borderId="4" xfId="0" applyNumberFormat="1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14" fillId="2" borderId="5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9" fillId="0" borderId="0" xfId="21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9" fillId="0" borderId="0" xfId="21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center" vertical="center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22" xfId="0" applyFont="1" applyFill="1" applyBorder="1" applyAlignment="1">
      <alignment horizontal="center"/>
    </xf>
    <xf numFmtId="0" fontId="21" fillId="7" borderId="19" xfId="0" applyFont="1" applyFill="1" applyBorder="1" applyAlignment="1">
      <alignment horizontal="center"/>
    </xf>
    <xf numFmtId="0" fontId="22" fillId="0" borderId="32" xfId="0" applyFont="1" applyBorder="1" applyAlignment="1">
      <alignment horizontal="center"/>
    </xf>
    <xf numFmtId="0" fontId="22" fillId="0" borderId="3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5">
    <cellStyle name="Excel Built-in Currency" xfId="1"/>
    <cellStyle name="Hiperlink" xfId="23"/>
    <cellStyle name="Moeda" xfId="2" builtinId="4"/>
    <cellStyle name="Moeda 2" xfId="3"/>
    <cellStyle name="Moeda 2 2" xfId="4"/>
    <cellStyle name="Moeda 3" xfId="5"/>
    <cellStyle name="Moeda 4" xfId="6"/>
    <cellStyle name="Moeda 5" xfId="7"/>
    <cellStyle name="Normal" xfId="0" builtinId="0"/>
    <cellStyle name="Normal 2" xfId="8"/>
    <cellStyle name="Normal 3" xfId="9"/>
    <cellStyle name="Normal 4" xfId="10"/>
    <cellStyle name="Normal 5" xfId="21"/>
    <cellStyle name="Porcentagem" xfId="11" builtinId="5"/>
    <cellStyle name="Porcentagem 2" xfId="12"/>
    <cellStyle name="Porcentagem 2 2" xfId="13"/>
    <cellStyle name="Porcentagem 3" xfId="14"/>
    <cellStyle name="Porcentagem 3 2" xfId="15"/>
    <cellStyle name="Porcentagem 4" xfId="22"/>
    <cellStyle name="Separador de milhares" xfId="24" builtinId="3"/>
    <cellStyle name="Separador de milhares 2" xfId="16"/>
    <cellStyle name="Separador de milhares 2 2" xfId="17"/>
    <cellStyle name="Separador de milhares 3" xfId="18"/>
    <cellStyle name="Separador de milhares 3 2" xfId="19"/>
    <cellStyle name="Vírgula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79998168889431442"/>
    <pageSetUpPr fitToPage="1"/>
  </sheetPr>
  <dimension ref="B1:I10"/>
  <sheetViews>
    <sheetView zoomScale="80" zoomScaleNormal="80" workbookViewId="0">
      <selection activeCell="B4" sqref="B4:I4"/>
    </sheetView>
  </sheetViews>
  <sheetFormatPr defaultColWidth="9.140625" defaultRowHeight="12.75"/>
  <cols>
    <col min="1" max="1" width="2.7109375" style="22" customWidth="1"/>
    <col min="2" max="2" width="6.5703125" style="22" customWidth="1"/>
    <col min="3" max="3" width="6.42578125" style="22" customWidth="1"/>
    <col min="4" max="4" width="34" style="22" customWidth="1"/>
    <col min="5" max="5" width="12" style="22" customWidth="1"/>
    <col min="6" max="6" width="9.140625" style="22"/>
    <col min="7" max="7" width="14.140625" style="22" customWidth="1"/>
    <col min="8" max="8" width="16.140625" style="22" customWidth="1"/>
    <col min="9" max="9" width="20.28515625" style="22" customWidth="1"/>
    <col min="10" max="16384" width="9.140625" style="22"/>
  </cols>
  <sheetData>
    <row r="1" spans="2:9" ht="13.5" thickBot="1"/>
    <row r="2" spans="2:9" s="23" customFormat="1" ht="50.1" customHeight="1">
      <c r="B2" s="136" t="s">
        <v>158</v>
      </c>
      <c r="C2" s="137"/>
      <c r="D2" s="137"/>
      <c r="E2" s="137"/>
      <c r="F2" s="137"/>
      <c r="G2" s="137"/>
      <c r="H2" s="137"/>
      <c r="I2" s="138"/>
    </row>
    <row r="3" spans="2:9" s="23" customFormat="1" ht="24.95" customHeight="1">
      <c r="B3" s="127"/>
      <c r="C3" s="128"/>
      <c r="D3" s="128"/>
      <c r="E3" s="128"/>
      <c r="F3" s="128"/>
      <c r="G3" s="128"/>
      <c r="H3" s="128"/>
      <c r="I3" s="129"/>
    </row>
    <row r="4" spans="2:9" s="23" customFormat="1" ht="75" customHeight="1">
      <c r="B4" s="142" t="s">
        <v>156</v>
      </c>
      <c r="C4" s="143"/>
      <c r="D4" s="143"/>
      <c r="E4" s="143"/>
      <c r="F4" s="143"/>
      <c r="G4" s="143"/>
      <c r="H4" s="143"/>
      <c r="I4" s="144"/>
    </row>
    <row r="5" spans="2:9" s="23" customFormat="1" ht="24.95" customHeight="1">
      <c r="B5" s="127"/>
      <c r="C5" s="128"/>
      <c r="D5" s="128"/>
      <c r="E5" s="128"/>
      <c r="F5" s="128"/>
      <c r="G5" s="128"/>
      <c r="H5" s="128"/>
      <c r="I5" s="129"/>
    </row>
    <row r="6" spans="2:9" s="23" customFormat="1" ht="75" customHeight="1">
      <c r="B6" s="142" t="s">
        <v>154</v>
      </c>
      <c r="C6" s="143"/>
      <c r="D6" s="143"/>
      <c r="E6" s="143"/>
      <c r="F6" s="143"/>
      <c r="G6" s="143"/>
      <c r="H6" s="143"/>
      <c r="I6" s="144"/>
    </row>
    <row r="7" spans="2:9" s="23" customFormat="1" ht="24.95" customHeight="1">
      <c r="B7" s="127"/>
      <c r="C7" s="128"/>
      <c r="D7" s="128"/>
      <c r="E7" s="128"/>
      <c r="F7" s="128"/>
      <c r="G7" s="128"/>
      <c r="H7" s="128"/>
      <c r="I7" s="129"/>
    </row>
    <row r="8" spans="2:9" s="23" customFormat="1" ht="399.95" customHeight="1">
      <c r="B8" s="130" t="s">
        <v>157</v>
      </c>
      <c r="C8" s="131"/>
      <c r="D8" s="131"/>
      <c r="E8" s="131"/>
      <c r="F8" s="131"/>
      <c r="G8" s="131"/>
      <c r="H8" s="131"/>
      <c r="I8" s="132"/>
    </row>
    <row r="9" spans="2:9" s="23" customFormat="1" ht="24.95" customHeight="1">
      <c r="B9" s="139"/>
      <c r="C9" s="140"/>
      <c r="D9" s="140"/>
      <c r="E9" s="140"/>
      <c r="F9" s="140"/>
      <c r="G9" s="140"/>
      <c r="H9" s="140"/>
      <c r="I9" s="141"/>
    </row>
    <row r="10" spans="2:9" s="23" customFormat="1" ht="75" customHeight="1" thickBot="1">
      <c r="B10" s="133" t="s">
        <v>155</v>
      </c>
      <c r="C10" s="134"/>
      <c r="D10" s="134"/>
      <c r="E10" s="134"/>
      <c r="F10" s="134"/>
      <c r="G10" s="134"/>
      <c r="H10" s="134"/>
      <c r="I10" s="135"/>
    </row>
  </sheetData>
  <mergeCells count="9">
    <mergeCell ref="B7:I7"/>
    <mergeCell ref="B8:I8"/>
    <mergeCell ref="B10:I10"/>
    <mergeCell ref="B2:I2"/>
    <mergeCell ref="B9:I9"/>
    <mergeCell ref="B3:I3"/>
    <mergeCell ref="B4:I4"/>
    <mergeCell ref="B5:I5"/>
    <mergeCell ref="B6:I6"/>
  </mergeCells>
  <printOptions horizontalCentered="1"/>
  <pageMargins left="0.39370078740157483" right="0.39370078740157483" top="1.9685039370078741" bottom="0.78740157480314965" header="0" footer="0"/>
  <pageSetup paperSize="9" scale="80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0"/>
  <sheetViews>
    <sheetView showGridLines="0" workbookViewId="0">
      <selection activeCell="B41" sqref="B41"/>
    </sheetView>
  </sheetViews>
  <sheetFormatPr defaultRowHeight="15"/>
  <cols>
    <col min="1" max="1" width="29.5703125" customWidth="1"/>
    <col min="2" max="2" width="14.85546875" style="80" customWidth="1"/>
    <col min="3" max="3" width="11.5703125" customWidth="1"/>
    <col min="4" max="4" width="14.7109375" style="80" customWidth="1"/>
    <col min="5" max="7" width="9.140625" style="80"/>
    <col min="8" max="8" width="10.7109375" style="80" customWidth="1"/>
    <col min="9" max="9" width="12.7109375" customWidth="1"/>
    <col min="10" max="10" width="20.5703125" customWidth="1"/>
    <col min="11" max="11" width="10.42578125" customWidth="1"/>
    <col min="12" max="12" width="20.5703125" customWidth="1"/>
    <col min="13" max="13" width="16" customWidth="1"/>
    <col min="14" max="14" width="10.5703125" customWidth="1"/>
  </cols>
  <sheetData>
    <row r="1" spans="1:15">
      <c r="A1" s="119"/>
      <c r="B1" s="120" t="s">
        <v>168</v>
      </c>
      <c r="C1" s="120" t="s">
        <v>295</v>
      </c>
      <c r="D1" s="120" t="s">
        <v>169</v>
      </c>
      <c r="E1" s="120" t="s">
        <v>170</v>
      </c>
      <c r="F1" s="120" t="s">
        <v>171</v>
      </c>
      <c r="G1" s="120" t="s">
        <v>172</v>
      </c>
      <c r="H1" s="120" t="s">
        <v>173</v>
      </c>
      <c r="I1" s="120" t="s">
        <v>180</v>
      </c>
      <c r="J1" s="121" t="s">
        <v>297</v>
      </c>
      <c r="K1" s="121" t="s">
        <v>299</v>
      </c>
      <c r="L1" s="121" t="s">
        <v>303</v>
      </c>
      <c r="M1" s="121" t="s">
        <v>296</v>
      </c>
      <c r="N1" s="121" t="s">
        <v>308</v>
      </c>
    </row>
    <row r="2" spans="1:15">
      <c r="A2" s="102" t="s">
        <v>311</v>
      </c>
      <c r="B2" s="86" t="s">
        <v>167</v>
      </c>
      <c r="C2" s="86">
        <v>2807</v>
      </c>
      <c r="D2" s="86">
        <v>805</v>
      </c>
      <c r="E2" s="86">
        <v>28</v>
      </c>
      <c r="F2" s="86">
        <v>28</v>
      </c>
      <c r="G2" s="86">
        <v>87.5</v>
      </c>
      <c r="H2" s="86">
        <f t="shared" ref="H2:H7" si="0">D2/12</f>
        <v>67.08</v>
      </c>
      <c r="I2" s="118">
        <f>insumos!$F$28</f>
        <v>19.920000000000002</v>
      </c>
      <c r="J2" s="103">
        <v>0</v>
      </c>
      <c r="K2" s="103"/>
      <c r="L2" s="103">
        <v>0</v>
      </c>
      <c r="M2" s="103">
        <f>insumos!$F$158</f>
        <v>18.78</v>
      </c>
      <c r="N2" s="103">
        <f>insumos!$F$165</f>
        <v>25.67</v>
      </c>
    </row>
    <row r="3" spans="1:15">
      <c r="A3" s="102" t="s">
        <v>289</v>
      </c>
      <c r="B3" s="86" t="s">
        <v>167</v>
      </c>
      <c r="C3" s="86">
        <v>2232</v>
      </c>
      <c r="D3" s="86">
        <v>805</v>
      </c>
      <c r="E3" s="86">
        <v>28</v>
      </c>
      <c r="F3" s="86">
        <v>28</v>
      </c>
      <c r="G3" s="86">
        <v>87.5</v>
      </c>
      <c r="H3" s="86">
        <f t="shared" si="0"/>
        <v>67.08</v>
      </c>
      <c r="I3" s="118">
        <f>insumos!$F$19</f>
        <v>19.920000000000002</v>
      </c>
      <c r="J3" s="103">
        <v>0</v>
      </c>
      <c r="K3" s="103"/>
      <c r="L3" s="103">
        <v>0</v>
      </c>
      <c r="M3" s="103">
        <f>insumos!$F$158</f>
        <v>18.78</v>
      </c>
      <c r="N3" s="103">
        <f>insumos!$F$165</f>
        <v>25.67</v>
      </c>
    </row>
    <row r="4" spans="1:15">
      <c r="A4" s="102" t="s">
        <v>290</v>
      </c>
      <c r="B4" s="86" t="s">
        <v>318</v>
      </c>
      <c r="C4" s="86">
        <v>2689</v>
      </c>
      <c r="D4" s="86">
        <v>805</v>
      </c>
      <c r="E4" s="86">
        <v>28</v>
      </c>
      <c r="F4" s="86">
        <v>28</v>
      </c>
      <c r="G4" s="86">
        <v>81</v>
      </c>
      <c r="H4" s="86">
        <f t="shared" si="0"/>
        <v>67.08</v>
      </c>
      <c r="I4" s="118">
        <f>insumos!$F$54</f>
        <v>43.67</v>
      </c>
      <c r="J4" s="103">
        <v>0</v>
      </c>
      <c r="K4" s="103"/>
      <c r="L4" s="103">
        <v>0</v>
      </c>
      <c r="M4" s="103">
        <f>insumos!$F$158</f>
        <v>18.78</v>
      </c>
      <c r="N4" s="103">
        <f>insumos!$F$165</f>
        <v>25.67</v>
      </c>
    </row>
    <row r="5" spans="1:15">
      <c r="A5" s="102" t="s">
        <v>291</v>
      </c>
      <c r="B5" s="86" t="s">
        <v>167</v>
      </c>
      <c r="C5" s="86">
        <v>1821</v>
      </c>
      <c r="D5" s="86">
        <v>805</v>
      </c>
      <c r="E5" s="86">
        <v>28</v>
      </c>
      <c r="F5" s="86">
        <v>28</v>
      </c>
      <c r="G5" s="86">
        <v>87.5</v>
      </c>
      <c r="H5" s="86">
        <f t="shared" si="0"/>
        <v>67.08</v>
      </c>
      <c r="I5" s="118">
        <f>insumos!$F$40</f>
        <v>27.92</v>
      </c>
      <c r="J5" s="103">
        <v>0</v>
      </c>
      <c r="K5" s="103"/>
      <c r="L5" s="103">
        <v>0</v>
      </c>
      <c r="M5" s="103">
        <f>insumos!$F$158</f>
        <v>18.78</v>
      </c>
      <c r="N5" s="103">
        <f>insumos!$F$165</f>
        <v>25.67</v>
      </c>
    </row>
    <row r="6" spans="1:15">
      <c r="A6" s="102" t="s">
        <v>292</v>
      </c>
      <c r="B6" s="86" t="s">
        <v>167</v>
      </c>
      <c r="C6" s="86">
        <v>1884</v>
      </c>
      <c r="D6" s="86">
        <v>805</v>
      </c>
      <c r="E6" s="86">
        <v>28</v>
      </c>
      <c r="F6" s="86">
        <v>28</v>
      </c>
      <c r="G6" s="86">
        <v>87.5</v>
      </c>
      <c r="H6" s="86">
        <f t="shared" si="0"/>
        <v>67.08</v>
      </c>
      <c r="I6" s="118">
        <f>insumos!$F$54</f>
        <v>43.67</v>
      </c>
      <c r="J6" s="103">
        <v>0</v>
      </c>
      <c r="K6" s="103"/>
      <c r="L6" s="103">
        <v>0</v>
      </c>
      <c r="M6" s="103">
        <f>insumos!$F$158</f>
        <v>18.78</v>
      </c>
      <c r="N6" s="103">
        <f>insumos!$F$165</f>
        <v>25.67</v>
      </c>
    </row>
    <row r="7" spans="1:15">
      <c r="A7" s="102" t="s">
        <v>293</v>
      </c>
      <c r="B7" s="86" t="s">
        <v>167</v>
      </c>
      <c r="C7" s="86">
        <v>1764</v>
      </c>
      <c r="D7" s="86">
        <v>805</v>
      </c>
      <c r="E7" s="86">
        <v>28</v>
      </c>
      <c r="F7" s="86">
        <v>28</v>
      </c>
      <c r="G7" s="86">
        <v>87.5</v>
      </c>
      <c r="H7" s="86">
        <f t="shared" si="0"/>
        <v>67.08</v>
      </c>
      <c r="I7" s="118">
        <f>insumos!$F$10</f>
        <v>19.16</v>
      </c>
      <c r="J7" s="103">
        <f>insumos!$F$103/86</f>
        <v>198.91</v>
      </c>
      <c r="K7" s="103">
        <f>insumos!$F$125/86</f>
        <v>7.08</v>
      </c>
      <c r="L7" s="103">
        <f>insumos!$F$135/86</f>
        <v>205.86</v>
      </c>
      <c r="M7" s="103">
        <f>insumos!$F$158</f>
        <v>18.78</v>
      </c>
      <c r="N7" s="103">
        <f>insumos!$F$165</f>
        <v>25.67</v>
      </c>
    </row>
    <row r="8" spans="1:15" ht="15.75" thickBot="1">
      <c r="A8" s="122" t="s">
        <v>294</v>
      </c>
      <c r="B8" s="107"/>
      <c r="C8" s="107">
        <v>1518</v>
      </c>
      <c r="D8" s="107"/>
      <c r="E8" s="107"/>
      <c r="F8" s="107"/>
      <c r="G8" s="107"/>
      <c r="H8" s="107"/>
      <c r="I8" s="107"/>
      <c r="J8" s="108"/>
      <c r="K8" s="108"/>
      <c r="L8" s="108"/>
      <c r="M8" s="108"/>
      <c r="N8" s="108"/>
    </row>
    <row r="10" spans="1:15">
      <c r="L10" s="90"/>
      <c r="M10" s="90"/>
    </row>
    <row r="13" spans="1:15">
      <c r="F13" s="145"/>
      <c r="G13" s="145"/>
      <c r="H13" s="145"/>
      <c r="I13" s="145"/>
      <c r="J13" s="145"/>
      <c r="K13" s="145"/>
      <c r="L13" s="145"/>
      <c r="M13" s="145"/>
      <c r="N13" s="145"/>
      <c r="O13" s="145"/>
    </row>
    <row r="14" spans="1:15">
      <c r="F14" s="145"/>
      <c r="G14" s="145"/>
      <c r="H14" s="145"/>
      <c r="I14" s="145"/>
      <c r="J14" s="145"/>
      <c r="K14" s="145"/>
      <c r="L14" s="145"/>
      <c r="M14" s="145"/>
      <c r="N14" s="145"/>
      <c r="O14" s="145"/>
    </row>
    <row r="15" spans="1:15">
      <c r="F15" s="145"/>
      <c r="G15" s="145"/>
      <c r="H15" s="145"/>
      <c r="I15" s="145"/>
      <c r="J15" s="145"/>
      <c r="K15" s="145"/>
      <c r="L15" s="145"/>
      <c r="M15" s="145"/>
      <c r="N15" s="145"/>
      <c r="O15" s="145"/>
    </row>
    <row r="16" spans="1:15">
      <c r="F16" s="145"/>
      <c r="G16" s="145"/>
      <c r="H16" s="145"/>
      <c r="I16" s="145"/>
      <c r="J16" s="145"/>
      <c r="K16" s="145"/>
      <c r="L16" s="145"/>
      <c r="M16" s="145"/>
      <c r="N16" s="145"/>
      <c r="O16" s="145"/>
    </row>
    <row r="17" spans="6:15">
      <c r="F17" s="145"/>
      <c r="G17" s="145"/>
      <c r="H17" s="145"/>
      <c r="I17" s="145"/>
      <c r="J17" s="145"/>
      <c r="K17" s="145"/>
      <c r="L17" s="145"/>
      <c r="M17" s="145"/>
      <c r="N17" s="145"/>
      <c r="O17" s="145"/>
    </row>
    <row r="18" spans="6:15">
      <c r="F18" s="145"/>
      <c r="G18" s="145"/>
      <c r="H18" s="145"/>
      <c r="I18" s="145"/>
      <c r="J18" s="145"/>
      <c r="K18" s="145"/>
      <c r="L18" s="145"/>
      <c r="M18" s="145"/>
      <c r="N18" s="145"/>
      <c r="O18" s="145"/>
    </row>
    <row r="19" spans="6:15">
      <c r="F19" s="145"/>
      <c r="G19" s="145"/>
      <c r="H19" s="145"/>
      <c r="I19" s="145"/>
      <c r="J19" s="145"/>
      <c r="K19" s="145"/>
      <c r="L19" s="145"/>
      <c r="M19" s="145"/>
      <c r="N19" s="145"/>
      <c r="O19" s="145"/>
    </row>
    <row r="20" spans="6:15">
      <c r="F20" s="145"/>
      <c r="G20" s="145"/>
      <c r="H20" s="145"/>
      <c r="I20" s="145"/>
      <c r="J20" s="145"/>
      <c r="K20" s="145"/>
      <c r="L20" s="145"/>
      <c r="M20" s="145"/>
      <c r="N20" s="145"/>
      <c r="O20" s="145"/>
    </row>
  </sheetData>
  <mergeCells count="1">
    <mergeCell ref="F13:O20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2:L18"/>
  <sheetViews>
    <sheetView tabSelected="1" zoomScale="80" zoomScaleNormal="80" workbookViewId="0">
      <selection activeCell="N39" sqref="N39"/>
    </sheetView>
  </sheetViews>
  <sheetFormatPr defaultColWidth="9.140625" defaultRowHeight="12.75"/>
  <cols>
    <col min="1" max="1" width="2.7109375" style="17" customWidth="1"/>
    <col min="2" max="2" width="6.5703125" style="17" customWidth="1"/>
    <col min="3" max="3" width="6.42578125" style="17" customWidth="1"/>
    <col min="4" max="4" width="37.85546875" style="17" customWidth="1"/>
    <col min="5" max="5" width="12.28515625" style="92" customWidth="1"/>
    <col min="6" max="6" width="12" style="17" customWidth="1"/>
    <col min="7" max="7" width="9.140625" style="17"/>
    <col min="8" max="9" width="16.140625" style="17" customWidth="1"/>
    <col min="10" max="10" width="20.28515625" style="17" customWidth="1"/>
    <col min="11" max="11" width="19.140625" style="17" customWidth="1"/>
    <col min="12" max="12" width="14.28515625" style="17" bestFit="1" customWidth="1"/>
    <col min="13" max="16384" width="9.140625" style="17"/>
  </cols>
  <sheetData>
    <row r="2" spans="2:12">
      <c r="B2" s="146" t="s">
        <v>153</v>
      </c>
      <c r="C2" s="146"/>
      <c r="D2" s="146"/>
      <c r="E2" s="146"/>
      <c r="F2" s="146"/>
      <c r="G2" s="146"/>
      <c r="H2" s="146"/>
      <c r="I2" s="146"/>
      <c r="J2" s="146"/>
    </row>
    <row r="3" spans="2:12" ht="25.5">
      <c r="B3" s="11" t="s">
        <v>152</v>
      </c>
      <c r="C3" s="11" t="s">
        <v>107</v>
      </c>
      <c r="D3" s="11" t="s">
        <v>146</v>
      </c>
      <c r="E3" s="11" t="s">
        <v>312</v>
      </c>
      <c r="F3" s="11" t="s">
        <v>148</v>
      </c>
      <c r="G3" s="11" t="s">
        <v>147</v>
      </c>
      <c r="H3" s="11" t="s">
        <v>149</v>
      </c>
      <c r="I3" s="11" t="s">
        <v>150</v>
      </c>
      <c r="J3" s="11" t="s">
        <v>186</v>
      </c>
    </row>
    <row r="4" spans="2:12" s="75" customFormat="1">
      <c r="B4" s="150">
        <v>1</v>
      </c>
      <c r="C4" s="18">
        <v>1</v>
      </c>
      <c r="D4" s="24" t="str">
        <f>'Entrada de dados'!$A$2</f>
        <v>SUPERVISOR GERAL</v>
      </c>
      <c r="E4" s="24">
        <v>44</v>
      </c>
      <c r="F4" s="18" t="s">
        <v>183</v>
      </c>
      <c r="G4" s="18">
        <v>1</v>
      </c>
      <c r="H4" s="19">
        <f>'1'!$D$134</f>
        <v>6960.65</v>
      </c>
      <c r="I4" s="19">
        <f t="shared" ref="I4:I13" si="0">H4*G4</f>
        <v>6960.65</v>
      </c>
      <c r="J4" s="19">
        <f t="shared" ref="J4:J13" si="1">I4*30</f>
        <v>208819.5</v>
      </c>
    </row>
    <row r="5" spans="2:12" s="75" customFormat="1">
      <c r="B5" s="151"/>
      <c r="C5" s="18">
        <v>2</v>
      </c>
      <c r="D5" s="24" t="str">
        <f>'Entrada de dados'!A3</f>
        <v>ENCARREGADO + DE 20 EMPREGADOS</v>
      </c>
      <c r="E5" s="24">
        <v>44</v>
      </c>
      <c r="F5" s="18" t="s">
        <v>183</v>
      </c>
      <c r="G5" s="18">
        <v>4</v>
      </c>
      <c r="H5" s="19">
        <f>'2'!$D$134</f>
        <v>5303.88</v>
      </c>
      <c r="I5" s="19">
        <f t="shared" si="0"/>
        <v>21215.52</v>
      </c>
      <c r="J5" s="19">
        <f t="shared" si="1"/>
        <v>636465.6</v>
      </c>
      <c r="K5" s="91"/>
    </row>
    <row r="6" spans="2:12" s="75" customFormat="1">
      <c r="B6" s="151"/>
      <c r="C6" s="18">
        <v>3</v>
      </c>
      <c r="D6" s="24" t="str">
        <f>'Entrada de dados'!A4</f>
        <v>MEIO OFICIAL DE MANUTENÇÃO</v>
      </c>
      <c r="E6" s="24">
        <v>44</v>
      </c>
      <c r="F6" s="18" t="s">
        <v>183</v>
      </c>
      <c r="G6" s="18">
        <v>3</v>
      </c>
      <c r="H6" s="19">
        <f>'3'!$D$134</f>
        <v>6187.6</v>
      </c>
      <c r="I6" s="19">
        <f t="shared" si="0"/>
        <v>18562.8</v>
      </c>
      <c r="J6" s="19">
        <f t="shared" si="1"/>
        <v>556884</v>
      </c>
    </row>
    <row r="7" spans="2:12" s="75" customFormat="1">
      <c r="B7" s="151"/>
      <c r="C7" s="18">
        <v>4</v>
      </c>
      <c r="D7" s="24" t="str">
        <f>'Entrada de dados'!A5</f>
        <v>COPEIRA</v>
      </c>
      <c r="E7" s="24">
        <v>44</v>
      </c>
      <c r="F7" s="18" t="s">
        <v>183</v>
      </c>
      <c r="G7" s="18">
        <v>5</v>
      </c>
      <c r="H7" s="19">
        <f>'4'!$D$134</f>
        <v>4534.54</v>
      </c>
      <c r="I7" s="19">
        <f t="shared" si="0"/>
        <v>22672.7</v>
      </c>
      <c r="J7" s="19">
        <f t="shared" si="1"/>
        <v>680181</v>
      </c>
    </row>
    <row r="8" spans="2:12" s="75" customFormat="1">
      <c r="B8" s="151"/>
      <c r="C8" s="18">
        <v>5</v>
      </c>
      <c r="D8" s="24" t="str">
        <f>'Entrada de dados'!A6</f>
        <v>JARDINEIRO</v>
      </c>
      <c r="E8" s="24">
        <v>44</v>
      </c>
      <c r="F8" s="18" t="s">
        <v>183</v>
      </c>
      <c r="G8" s="18">
        <v>1</v>
      </c>
      <c r="H8" s="19">
        <f>'5'!$D$134</f>
        <v>4671.2</v>
      </c>
      <c r="I8" s="19">
        <f t="shared" si="0"/>
        <v>4671.2</v>
      </c>
      <c r="J8" s="19">
        <f t="shared" si="1"/>
        <v>140136</v>
      </c>
    </row>
    <row r="9" spans="2:12" s="75" customFormat="1">
      <c r="B9" s="151"/>
      <c r="C9" s="18">
        <v>6</v>
      </c>
      <c r="D9" s="24" t="str">
        <f>'Entrada de dados'!$A$7</f>
        <v>SERVENTE DE LIMPEZA</v>
      </c>
      <c r="E9" s="24">
        <v>44</v>
      </c>
      <c r="F9" s="18" t="s">
        <v>183</v>
      </c>
      <c r="G9" s="18">
        <v>42</v>
      </c>
      <c r="H9" s="19">
        <f>'6'!$D$134</f>
        <v>4871.7299999999996</v>
      </c>
      <c r="I9" s="19">
        <f t="shared" si="0"/>
        <v>204612.66</v>
      </c>
      <c r="J9" s="19">
        <f t="shared" si="1"/>
        <v>6138379.7999999998</v>
      </c>
    </row>
    <row r="10" spans="2:12" s="75" customFormat="1">
      <c r="B10" s="151"/>
      <c r="C10" s="18">
        <v>7</v>
      </c>
      <c r="D10" s="24" t="str">
        <f>'Entrada de dados'!$A$7</f>
        <v>SERVENTE DE LIMPEZA</v>
      </c>
      <c r="E10" s="24" t="s">
        <v>313</v>
      </c>
      <c r="F10" s="18" t="s">
        <v>183</v>
      </c>
      <c r="G10" s="18">
        <v>2</v>
      </c>
      <c r="H10" s="19">
        <f>'7'!$D$134</f>
        <v>5077.63</v>
      </c>
      <c r="I10" s="19">
        <f t="shared" si="0"/>
        <v>10155.26</v>
      </c>
      <c r="J10" s="19">
        <f t="shared" si="1"/>
        <v>304657.8</v>
      </c>
    </row>
    <row r="11" spans="2:12" s="75" customFormat="1">
      <c r="B11" s="151"/>
      <c r="C11" s="18">
        <v>8</v>
      </c>
      <c r="D11" s="24" t="str">
        <f>'Entrada de dados'!$A$7</f>
        <v>SERVENTE DE LIMPEZA</v>
      </c>
      <c r="E11" s="24" t="s">
        <v>314</v>
      </c>
      <c r="F11" s="18" t="s">
        <v>183</v>
      </c>
      <c r="G11" s="18">
        <v>2</v>
      </c>
      <c r="H11" s="19">
        <f>'8'!$D$134</f>
        <v>5706.22</v>
      </c>
      <c r="I11" s="19">
        <f t="shared" si="0"/>
        <v>11412.44</v>
      </c>
      <c r="J11" s="19">
        <f t="shared" si="1"/>
        <v>342373.2</v>
      </c>
    </row>
    <row r="12" spans="2:12" s="75" customFormat="1">
      <c r="B12" s="151"/>
      <c r="C12" s="18">
        <v>9</v>
      </c>
      <c r="D12" s="24" t="str">
        <f>'Entrada de dados'!$A$7</f>
        <v>SERVENTE DE LIMPEZA</v>
      </c>
      <c r="E12" s="24" t="s">
        <v>313</v>
      </c>
      <c r="F12" s="18" t="s">
        <v>183</v>
      </c>
      <c r="G12" s="18">
        <v>20</v>
      </c>
      <c r="H12" s="19">
        <f>'9'!$D$134</f>
        <v>6298.23</v>
      </c>
      <c r="I12" s="19">
        <f t="shared" si="0"/>
        <v>125964.6</v>
      </c>
      <c r="J12" s="19">
        <f t="shared" si="1"/>
        <v>3778938</v>
      </c>
    </row>
    <row r="13" spans="2:12" s="75" customFormat="1">
      <c r="B13" s="151"/>
      <c r="C13" s="18">
        <v>10</v>
      </c>
      <c r="D13" s="24" t="str">
        <f>'Entrada de dados'!$A$7</f>
        <v>SERVENTE DE LIMPEZA</v>
      </c>
      <c r="E13" s="24" t="s">
        <v>314</v>
      </c>
      <c r="F13" s="18" t="s">
        <v>183</v>
      </c>
      <c r="G13" s="18">
        <v>20</v>
      </c>
      <c r="H13" s="19">
        <f>'10'!$D$134</f>
        <v>7143.16</v>
      </c>
      <c r="I13" s="19">
        <f t="shared" si="0"/>
        <v>142863.20000000001</v>
      </c>
      <c r="J13" s="19">
        <f t="shared" si="1"/>
        <v>4285896</v>
      </c>
    </row>
    <row r="14" spans="2:12">
      <c r="B14" s="146" t="s">
        <v>151</v>
      </c>
      <c r="C14" s="146"/>
      <c r="D14" s="146"/>
      <c r="E14" s="146"/>
      <c r="F14" s="146"/>
      <c r="G14" s="146"/>
      <c r="H14" s="146"/>
      <c r="I14" s="20"/>
      <c r="J14" s="21"/>
    </row>
    <row r="15" spans="2:12" ht="26.1" customHeight="1">
      <c r="B15" s="147"/>
      <c r="C15" s="148"/>
      <c r="D15" s="148"/>
      <c r="E15" s="148"/>
      <c r="F15" s="148"/>
      <c r="G15" s="148"/>
      <c r="H15" s="148"/>
      <c r="I15" s="148"/>
      <c r="J15" s="149"/>
    </row>
    <row r="16" spans="2:12">
      <c r="B16" s="147" t="s">
        <v>185</v>
      </c>
      <c r="C16" s="148"/>
      <c r="D16" s="148"/>
      <c r="E16" s="148"/>
      <c r="F16" s="148"/>
      <c r="G16" s="148"/>
      <c r="H16" s="148"/>
      <c r="I16" s="149"/>
      <c r="J16" s="20">
        <f>SUM(J4:J13)</f>
        <v>17072730.899999999</v>
      </c>
      <c r="K16" s="91"/>
      <c r="L16" s="125"/>
    </row>
    <row r="17" spans="2:12" ht="26.1" customHeight="1">
      <c r="B17" s="147"/>
      <c r="C17" s="148"/>
      <c r="D17" s="148"/>
      <c r="E17" s="148"/>
      <c r="F17" s="148"/>
      <c r="G17" s="148"/>
      <c r="H17" s="148"/>
      <c r="I17" s="148"/>
      <c r="J17" s="149"/>
      <c r="L17" s="125"/>
    </row>
    <row r="18" spans="2:12">
      <c r="L18" s="125"/>
    </row>
  </sheetData>
  <mergeCells count="6">
    <mergeCell ref="B14:H14"/>
    <mergeCell ref="B15:J15"/>
    <mergeCell ref="B17:J17"/>
    <mergeCell ref="B16:I16"/>
    <mergeCell ref="B2:J2"/>
    <mergeCell ref="B4:B13"/>
  </mergeCells>
  <printOptions horizontalCentered="1"/>
  <pageMargins left="0.39370078740157483" right="0.39370078740157483" top="1.9685039370078741" bottom="0.78740157480314965" header="0" footer="0"/>
  <pageSetup paperSize="9" scale="6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Planilha1">
    <pageSetUpPr fitToPage="1"/>
  </sheetPr>
  <dimension ref="A1:M151"/>
  <sheetViews>
    <sheetView zoomScale="70" zoomScaleNormal="70" zoomScaleSheetLayoutView="110" workbookViewId="0">
      <selection activeCell="D143" sqref="D143"/>
    </sheetView>
  </sheetViews>
  <sheetFormatPr defaultColWidth="9.140625" defaultRowHeight="12.75"/>
  <cols>
    <col min="1" max="1" width="6" style="12" customWidth="1"/>
    <col min="2" max="2" width="62.7109375" style="1" customWidth="1"/>
    <col min="3" max="3" width="18.5703125" style="1" customWidth="1"/>
    <col min="4" max="4" width="30.7109375" style="1" customWidth="1"/>
    <col min="5" max="5" width="23" style="1" customWidth="1"/>
    <col min="6" max="6" width="102.42578125" style="1" customWidth="1"/>
    <col min="7" max="7" width="10.5703125" style="1" customWidth="1"/>
    <col min="8" max="8" width="43.85546875" style="1" customWidth="1"/>
    <col min="9" max="10" width="9.140625" style="1"/>
    <col min="11" max="11" width="11" style="1" customWidth="1"/>
    <col min="12" max="16384" width="9.140625" style="1"/>
  </cols>
  <sheetData>
    <row r="1" spans="1:4">
      <c r="A1" s="173" t="s">
        <v>93</v>
      </c>
      <c r="B1" s="173"/>
      <c r="C1" s="173"/>
      <c r="D1" s="173"/>
    </row>
    <row r="2" spans="1:4" ht="4.5" customHeight="1">
      <c r="A2" s="173"/>
      <c r="B2" s="173"/>
      <c r="C2" s="173"/>
      <c r="D2" s="173"/>
    </row>
    <row r="3" spans="1:4" ht="20.100000000000001" customHeight="1">
      <c r="A3" s="181" t="s">
        <v>315</v>
      </c>
      <c r="B3" s="179"/>
      <c r="C3" s="179"/>
      <c r="D3" s="180"/>
    </row>
    <row r="4" spans="1:4" ht="20.100000000000001" customHeight="1">
      <c r="A4" s="181" t="s">
        <v>316</v>
      </c>
      <c r="B4" s="179"/>
      <c r="C4" s="179"/>
      <c r="D4" s="180"/>
    </row>
    <row r="5" spans="1:4" ht="20.100000000000001" customHeight="1">
      <c r="A5" s="28"/>
      <c r="B5" s="178"/>
      <c r="C5" s="179"/>
      <c r="D5" s="180"/>
    </row>
    <row r="6" spans="1:4" ht="20.100000000000001" customHeight="1">
      <c r="A6" s="29"/>
      <c r="B6" s="30"/>
      <c r="C6" s="31"/>
      <c r="D6" s="32"/>
    </row>
    <row r="7" spans="1:4" ht="20.100000000000001" customHeight="1">
      <c r="A7" s="174" t="s">
        <v>0</v>
      </c>
      <c r="B7" s="175"/>
      <c r="C7" s="175"/>
      <c r="D7" s="176"/>
    </row>
    <row r="8" spans="1:4" ht="20.100000000000001" customHeight="1">
      <c r="A8" s="33" t="s">
        <v>1</v>
      </c>
      <c r="B8" s="177" t="s">
        <v>2</v>
      </c>
      <c r="C8" s="177"/>
      <c r="D8" s="34">
        <v>45783</v>
      </c>
    </row>
    <row r="9" spans="1:4" ht="30" customHeight="1">
      <c r="A9" s="33" t="s">
        <v>3</v>
      </c>
      <c r="B9" s="177" t="s">
        <v>159</v>
      </c>
      <c r="C9" s="177"/>
      <c r="D9" s="35" t="s">
        <v>317</v>
      </c>
    </row>
    <row r="10" spans="1:4" ht="20.100000000000001" customHeight="1">
      <c r="A10" s="33" t="s">
        <v>4</v>
      </c>
      <c r="B10" s="177" t="s">
        <v>142</v>
      </c>
      <c r="C10" s="177"/>
      <c r="D10" s="36" t="str">
        <f>VLOOKUP(A14,'Entrada de dados'!$A$1:$N$8,2,FALSE)</f>
        <v>PR000074/2025</v>
      </c>
    </row>
    <row r="11" spans="1:4" ht="20.100000000000001" customHeight="1">
      <c r="A11" s="33" t="s">
        <v>5</v>
      </c>
      <c r="B11" s="177" t="s">
        <v>6</v>
      </c>
      <c r="C11" s="177"/>
      <c r="D11" s="37">
        <v>30</v>
      </c>
    </row>
    <row r="12" spans="1:4" ht="20.100000000000001" customHeight="1">
      <c r="A12" s="31"/>
      <c r="B12" s="38"/>
      <c r="C12" s="31"/>
      <c r="D12" s="32"/>
    </row>
    <row r="13" spans="1:4" ht="27" customHeight="1">
      <c r="A13" s="156" t="s">
        <v>91</v>
      </c>
      <c r="B13" s="156"/>
      <c r="C13" s="35" t="s">
        <v>90</v>
      </c>
      <c r="D13" s="35" t="s">
        <v>100</v>
      </c>
    </row>
    <row r="14" spans="1:4" ht="20.100000000000001" customHeight="1">
      <c r="A14" s="182" t="str">
        <f>'Quadro Resumo'!D4</f>
        <v>SUPERVISOR GERAL</v>
      </c>
      <c r="B14" s="183"/>
      <c r="C14" s="169" t="s">
        <v>92</v>
      </c>
      <c r="D14" s="171">
        <f>VLOOKUP(A14,'Quadro Resumo'!D3:G13,4,FALSE)</f>
        <v>1</v>
      </c>
    </row>
    <row r="15" spans="1:4" ht="20.100000000000001" customHeight="1">
      <c r="A15" s="184"/>
      <c r="B15" s="185"/>
      <c r="C15" s="170"/>
      <c r="D15" s="172"/>
    </row>
    <row r="16" spans="1:4" ht="20.100000000000001" customHeight="1">
      <c r="A16" s="152" t="s">
        <v>174</v>
      </c>
      <c r="B16" s="153"/>
      <c r="C16" s="154"/>
      <c r="D16" s="76">
        <v>44</v>
      </c>
    </row>
    <row r="17" spans="1:6" ht="20.100000000000001" customHeight="1">
      <c r="A17" s="152" t="s">
        <v>160</v>
      </c>
      <c r="B17" s="153"/>
      <c r="C17" s="154"/>
      <c r="D17" s="79">
        <v>45689</v>
      </c>
    </row>
    <row r="18" spans="1:6" ht="20.100000000000001" customHeight="1">
      <c r="A18" s="190"/>
      <c r="B18" s="190"/>
      <c r="C18" s="190"/>
      <c r="D18" s="39"/>
    </row>
    <row r="19" spans="1:6" ht="20.100000000000001" customHeight="1">
      <c r="A19" s="158" t="s">
        <v>7</v>
      </c>
      <c r="B19" s="158"/>
      <c r="C19" s="158"/>
      <c r="D19" s="158"/>
    </row>
    <row r="20" spans="1:6" ht="20.100000000000001" customHeight="1">
      <c r="A20" s="40">
        <v>1</v>
      </c>
      <c r="B20" s="156" t="s">
        <v>8</v>
      </c>
      <c r="C20" s="156"/>
      <c r="D20" s="40" t="s">
        <v>9</v>
      </c>
    </row>
    <row r="21" spans="1:6" ht="20.100000000000001" customHeight="1">
      <c r="A21" s="35" t="s">
        <v>1</v>
      </c>
      <c r="B21" s="160" t="s">
        <v>10</v>
      </c>
      <c r="C21" s="160"/>
      <c r="D21" s="41">
        <f>VLOOKUP(A14,'Entrada de dados'!A2:H8,3,FALSE)/44*'1'!D16</f>
        <v>2807</v>
      </c>
      <c r="F21" s="26" t="s">
        <v>138</v>
      </c>
    </row>
    <row r="22" spans="1:6" ht="20.100000000000001" customHeight="1">
      <c r="A22" s="35" t="s">
        <v>3</v>
      </c>
      <c r="B22" s="160" t="s">
        <v>99</v>
      </c>
      <c r="C22" s="160"/>
      <c r="D22" s="41"/>
      <c r="F22" s="26" t="s">
        <v>161</v>
      </c>
    </row>
    <row r="23" spans="1:6" ht="20.100000000000001" customHeight="1">
      <c r="A23" s="35" t="s">
        <v>4</v>
      </c>
      <c r="B23" s="160" t="s">
        <v>98</v>
      </c>
      <c r="C23" s="160"/>
      <c r="D23" s="41">
        <v>0</v>
      </c>
      <c r="F23" s="71" t="s">
        <v>166</v>
      </c>
    </row>
    <row r="24" spans="1:6" ht="20.100000000000001" customHeight="1">
      <c r="A24" s="35" t="s">
        <v>5</v>
      </c>
      <c r="B24" s="160" t="s">
        <v>11</v>
      </c>
      <c r="C24" s="160"/>
      <c r="D24" s="41"/>
      <c r="F24" s="26" t="s">
        <v>161</v>
      </c>
    </row>
    <row r="25" spans="1:6" ht="20.100000000000001" customHeight="1">
      <c r="A25" s="35" t="s">
        <v>12</v>
      </c>
      <c r="B25" s="160" t="s">
        <v>29</v>
      </c>
      <c r="C25" s="160"/>
      <c r="D25" s="41"/>
      <c r="F25" s="26" t="s">
        <v>161</v>
      </c>
    </row>
    <row r="26" spans="1:6" ht="20.100000000000001" customHeight="1">
      <c r="A26" s="35" t="s">
        <v>13</v>
      </c>
      <c r="B26" s="160" t="s">
        <v>319</v>
      </c>
      <c r="C26" s="160"/>
      <c r="D26" s="41">
        <v>280</v>
      </c>
      <c r="F26" s="26" t="s">
        <v>161</v>
      </c>
    </row>
    <row r="27" spans="1:6" ht="20.100000000000001" customHeight="1">
      <c r="A27" s="156" t="s">
        <v>16</v>
      </c>
      <c r="B27" s="156"/>
      <c r="C27" s="156"/>
      <c r="D27" s="42">
        <f>SUM(D21:D26)</f>
        <v>3087</v>
      </c>
    </row>
    <row r="28" spans="1:6" ht="20.100000000000001" customHeight="1">
      <c r="A28" s="31"/>
      <c r="B28" s="38"/>
      <c r="C28" s="31"/>
      <c r="D28" s="43"/>
    </row>
    <row r="29" spans="1:6" ht="20.100000000000001" customHeight="1">
      <c r="A29" s="191" t="s">
        <v>30</v>
      </c>
      <c r="B29" s="191"/>
      <c r="C29" s="191"/>
      <c r="D29" s="191"/>
    </row>
    <row r="30" spans="1:6" ht="20.100000000000001" customHeight="1">
      <c r="A30" s="44"/>
      <c r="B30" s="45"/>
      <c r="C30" s="45"/>
      <c r="D30" s="43"/>
    </row>
    <row r="31" spans="1:6" ht="20.100000000000001" customHeight="1">
      <c r="A31" s="158" t="s">
        <v>31</v>
      </c>
      <c r="B31" s="158"/>
      <c r="C31" s="158"/>
      <c r="D31" s="158"/>
    </row>
    <row r="32" spans="1:6" ht="20.100000000000001" customHeight="1">
      <c r="A32" s="33" t="s">
        <v>32</v>
      </c>
      <c r="B32" s="33" t="s">
        <v>102</v>
      </c>
      <c r="C32" s="46" t="s">
        <v>38</v>
      </c>
      <c r="D32" s="33" t="s">
        <v>9</v>
      </c>
    </row>
    <row r="33" spans="1:13" ht="20.100000000000001" customHeight="1">
      <c r="A33" s="33" t="s">
        <v>1</v>
      </c>
      <c r="B33" s="47" t="s">
        <v>27</v>
      </c>
      <c r="C33" s="48">
        <v>8.3299999999999999E-2</v>
      </c>
      <c r="D33" s="49">
        <f>ROUND($D$27*C33,2)</f>
        <v>257.14999999999998</v>
      </c>
      <c r="F33" s="1" t="s">
        <v>113</v>
      </c>
    </row>
    <row r="34" spans="1:13" ht="20.100000000000001" customHeight="1">
      <c r="A34" s="33" t="s">
        <v>3</v>
      </c>
      <c r="B34" s="47" t="s">
        <v>184</v>
      </c>
      <c r="C34" s="48">
        <v>2.7799999999999998E-2</v>
      </c>
      <c r="D34" s="49">
        <f>ROUND($D$27*C34,2)</f>
        <v>85.82</v>
      </c>
      <c r="F34" s="25" t="s">
        <v>164</v>
      </c>
    </row>
    <row r="35" spans="1:13" ht="20.100000000000001" customHeight="1">
      <c r="A35" s="33" t="s">
        <v>4</v>
      </c>
      <c r="B35" s="50" t="s">
        <v>94</v>
      </c>
      <c r="C35" s="51">
        <f>SUM(C33:C34)</f>
        <v>0.1111</v>
      </c>
      <c r="D35" s="42">
        <f>SUM(D33:D34)</f>
        <v>342.97</v>
      </c>
    </row>
    <row r="36" spans="1:13" ht="20.100000000000001" customHeight="1">
      <c r="A36" s="33" t="s">
        <v>5</v>
      </c>
      <c r="B36" s="47" t="s">
        <v>95</v>
      </c>
      <c r="C36" s="48">
        <f>C35*C49</f>
        <v>0.04</v>
      </c>
      <c r="D36" s="49">
        <f>ROUND($D$27*C36,2)</f>
        <v>123.48</v>
      </c>
    </row>
    <row r="37" spans="1:13" ht="20.100000000000001" customHeight="1">
      <c r="A37" s="158" t="s">
        <v>34</v>
      </c>
      <c r="B37" s="158"/>
      <c r="C37" s="51">
        <f>SUM(C35:C36)</f>
        <v>0.15110000000000001</v>
      </c>
      <c r="D37" s="42">
        <f>SUM(D35:D36)</f>
        <v>466.45</v>
      </c>
      <c r="M37" s="5"/>
    </row>
    <row r="38" spans="1:13" ht="20.100000000000001" customHeight="1">
      <c r="A38" s="44"/>
      <c r="B38" s="44"/>
      <c r="C38" s="44"/>
      <c r="D38" s="43"/>
    </row>
    <row r="39" spans="1:13" ht="33" customHeight="1">
      <c r="A39" s="159" t="s">
        <v>35</v>
      </c>
      <c r="B39" s="159"/>
      <c r="C39" s="159"/>
      <c r="D39" s="159"/>
    </row>
    <row r="40" spans="1:13" ht="33.75" customHeight="1">
      <c r="A40" s="46" t="s">
        <v>36</v>
      </c>
      <c r="B40" s="50" t="s">
        <v>37</v>
      </c>
      <c r="C40" s="46" t="s">
        <v>38</v>
      </c>
      <c r="D40" s="46" t="s">
        <v>9</v>
      </c>
      <c r="E40" s="2"/>
    </row>
    <row r="41" spans="1:13" ht="20.100000000000001" customHeight="1">
      <c r="A41" s="52" t="s">
        <v>1</v>
      </c>
      <c r="B41" s="47" t="s">
        <v>39</v>
      </c>
      <c r="C41" s="48">
        <v>0.2</v>
      </c>
      <c r="D41" s="49">
        <f t="shared" ref="D41:D48" si="0">ROUND($D$27*C41,2)</f>
        <v>617.4</v>
      </c>
      <c r="F41" s="72" t="s">
        <v>114</v>
      </c>
    </row>
    <row r="42" spans="1:13" ht="20.100000000000001" customHeight="1">
      <c r="A42" s="52" t="s">
        <v>3</v>
      </c>
      <c r="B42" s="47" t="s">
        <v>40</v>
      </c>
      <c r="C42" s="48">
        <v>2.5000000000000001E-2</v>
      </c>
      <c r="D42" s="49">
        <f t="shared" si="0"/>
        <v>77.180000000000007</v>
      </c>
      <c r="F42" s="72" t="s">
        <v>115</v>
      </c>
    </row>
    <row r="43" spans="1:13" ht="20.100000000000001" customHeight="1">
      <c r="A43" s="52" t="s">
        <v>4</v>
      </c>
      <c r="B43" s="47" t="s">
        <v>41</v>
      </c>
      <c r="C43" s="48">
        <f>2%*1.0942</f>
        <v>2.1899999999999999E-2</v>
      </c>
      <c r="D43" s="49">
        <f t="shared" si="0"/>
        <v>67.61</v>
      </c>
      <c r="F43" s="72" t="s">
        <v>116</v>
      </c>
    </row>
    <row r="44" spans="1:13" ht="20.100000000000001" customHeight="1">
      <c r="A44" s="52" t="s">
        <v>5</v>
      </c>
      <c r="B44" s="47" t="s">
        <v>42</v>
      </c>
      <c r="C44" s="48">
        <v>1.4999999999999999E-2</v>
      </c>
      <c r="D44" s="49">
        <f t="shared" si="0"/>
        <v>46.31</v>
      </c>
      <c r="F44" s="72" t="s">
        <v>117</v>
      </c>
    </row>
    <row r="45" spans="1:13" ht="20.100000000000001" customHeight="1">
      <c r="A45" s="52" t="s">
        <v>12</v>
      </c>
      <c r="B45" s="47" t="s">
        <v>43</v>
      </c>
      <c r="C45" s="48">
        <v>0.01</v>
      </c>
      <c r="D45" s="49">
        <f t="shared" si="0"/>
        <v>30.87</v>
      </c>
      <c r="F45" s="72" t="s">
        <v>118</v>
      </c>
    </row>
    <row r="46" spans="1:13" ht="20.100000000000001" customHeight="1">
      <c r="A46" s="52" t="s">
        <v>13</v>
      </c>
      <c r="B46" s="47" t="s">
        <v>44</v>
      </c>
      <c r="C46" s="48">
        <v>6.0000000000000001E-3</v>
      </c>
      <c r="D46" s="49">
        <f t="shared" si="0"/>
        <v>18.52</v>
      </c>
      <c r="F46" s="72" t="s">
        <v>119</v>
      </c>
    </row>
    <row r="47" spans="1:13" ht="20.100000000000001" customHeight="1">
      <c r="A47" s="52" t="s">
        <v>14</v>
      </c>
      <c r="B47" s="47" t="s">
        <v>45</v>
      </c>
      <c r="C47" s="48">
        <v>2E-3</v>
      </c>
      <c r="D47" s="49">
        <f t="shared" si="0"/>
        <v>6.17</v>
      </c>
      <c r="F47" s="72" t="s">
        <v>120</v>
      </c>
    </row>
    <row r="48" spans="1:13" ht="20.100000000000001" customHeight="1">
      <c r="A48" s="52" t="s">
        <v>15</v>
      </c>
      <c r="B48" s="47" t="s">
        <v>46</v>
      </c>
      <c r="C48" s="48">
        <v>0.08</v>
      </c>
      <c r="D48" s="49">
        <f t="shared" si="0"/>
        <v>246.96</v>
      </c>
      <c r="F48" s="72" t="s">
        <v>121</v>
      </c>
    </row>
    <row r="49" spans="1:13" ht="20.100000000000001" customHeight="1">
      <c r="A49" s="159" t="s">
        <v>22</v>
      </c>
      <c r="B49" s="159"/>
      <c r="C49" s="51">
        <f>ROUND(SUM(C41:C48),4)</f>
        <v>0.3599</v>
      </c>
      <c r="D49" s="42">
        <f>ROUND(SUM(D41:D48),2)</f>
        <v>1111.02</v>
      </c>
      <c r="F49" s="25" t="s">
        <v>122</v>
      </c>
      <c r="M49" s="5"/>
    </row>
    <row r="50" spans="1:13" ht="20.100000000000001" customHeight="1">
      <c r="A50" s="44"/>
      <c r="B50" s="44"/>
      <c r="C50" s="44"/>
      <c r="D50" s="43"/>
    </row>
    <row r="51" spans="1:13" ht="20.100000000000001" customHeight="1">
      <c r="A51" s="161" t="s">
        <v>47</v>
      </c>
      <c r="B51" s="161"/>
      <c r="C51" s="161"/>
      <c r="D51" s="161"/>
    </row>
    <row r="52" spans="1:13" ht="20.100000000000001" customHeight="1">
      <c r="A52" s="35" t="s">
        <v>48</v>
      </c>
      <c r="B52" s="156" t="s">
        <v>17</v>
      </c>
      <c r="C52" s="156"/>
      <c r="D52" s="35" t="s">
        <v>9</v>
      </c>
      <c r="F52" s="14" t="s">
        <v>104</v>
      </c>
      <c r="G52" s="8"/>
      <c r="K52" s="5"/>
    </row>
    <row r="53" spans="1:13" ht="20.100000000000001" customHeight="1">
      <c r="A53" s="35" t="s">
        <v>1</v>
      </c>
      <c r="B53" s="155" t="s">
        <v>101</v>
      </c>
      <c r="C53" s="155"/>
      <c r="D53" s="41">
        <f>IF(((F55*2*F53)-(D21*0.06))&lt;0,0,((F55*2*F53)-(D21*0.06)))</f>
        <v>0</v>
      </c>
      <c r="F53" s="16">
        <v>22</v>
      </c>
      <c r="G53" s="8"/>
      <c r="H53" s="26" t="s">
        <v>163</v>
      </c>
      <c r="K53" s="5"/>
    </row>
    <row r="54" spans="1:13" ht="20.100000000000001" customHeight="1">
      <c r="A54" s="35" t="s">
        <v>3</v>
      </c>
      <c r="B54" s="157" t="s">
        <v>112</v>
      </c>
      <c r="C54" s="157"/>
      <c r="D54" s="41">
        <f>F57*1*(1-F59)</f>
        <v>644</v>
      </c>
      <c r="F54" s="14" t="s">
        <v>145</v>
      </c>
      <c r="G54" s="8"/>
      <c r="H54" s="26" t="s">
        <v>163</v>
      </c>
      <c r="K54" s="5"/>
    </row>
    <row r="55" spans="1:13" ht="20.100000000000001" customHeight="1">
      <c r="A55" s="35" t="s">
        <v>4</v>
      </c>
      <c r="B55" s="155" t="s">
        <v>175</v>
      </c>
      <c r="C55" s="155"/>
      <c r="D55" s="41">
        <f>VLOOKUP(A14,'Entrada de dados'!A2:H8,5,FALSE)</f>
        <v>28</v>
      </c>
      <c r="F55" s="15">
        <v>0</v>
      </c>
      <c r="G55" s="8"/>
      <c r="H55" s="26" t="s">
        <v>320</v>
      </c>
      <c r="K55" s="5"/>
    </row>
    <row r="56" spans="1:13" ht="20.100000000000001" customHeight="1">
      <c r="A56" s="35" t="s">
        <v>5</v>
      </c>
      <c r="B56" s="155" t="s">
        <v>176</v>
      </c>
      <c r="C56" s="155"/>
      <c r="D56" s="41">
        <f>VLOOKUP(A14,'Entrada de dados'!A2:H8,6,FALSE)</f>
        <v>28</v>
      </c>
      <c r="F56" s="14" t="s">
        <v>105</v>
      </c>
      <c r="G56" s="8"/>
      <c r="H56" s="26" t="s">
        <v>163</v>
      </c>
      <c r="K56" s="5"/>
    </row>
    <row r="57" spans="1:13" ht="20.100000000000001" customHeight="1">
      <c r="A57" s="53" t="s">
        <v>49</v>
      </c>
      <c r="B57" s="155" t="s">
        <v>177</v>
      </c>
      <c r="C57" s="155"/>
      <c r="D57" s="41">
        <f>VLOOKUP(A14,'Entrada de dados'!A2:H8,7,FALSE)</f>
        <v>87.5</v>
      </c>
      <c r="F57" s="15">
        <f>VLOOKUP(A14,'Entrada de dados'!A2:H8,4,FALSE)</f>
        <v>805</v>
      </c>
      <c r="G57" s="8"/>
      <c r="H57" s="26" t="s">
        <v>163</v>
      </c>
      <c r="K57" s="5"/>
    </row>
    <row r="58" spans="1:13" ht="20.100000000000001" customHeight="1">
      <c r="A58" s="53" t="s">
        <v>13</v>
      </c>
      <c r="B58" s="157" t="s">
        <v>178</v>
      </c>
      <c r="C58" s="157"/>
      <c r="D58" s="41">
        <f>VLOOKUP(A14,'Entrada de dados'!A2:H8,8,FALSE)*0.8</f>
        <v>53.66</v>
      </c>
      <c r="F58" s="14" t="s">
        <v>106</v>
      </c>
      <c r="G58" s="8"/>
      <c r="H58" s="26" t="s">
        <v>163</v>
      </c>
      <c r="K58" s="5"/>
    </row>
    <row r="59" spans="1:13" ht="20.100000000000001" customHeight="1">
      <c r="A59" s="53" t="s">
        <v>14</v>
      </c>
      <c r="B59" s="157" t="s">
        <v>179</v>
      </c>
      <c r="C59" s="157"/>
      <c r="D59" s="41">
        <v>0</v>
      </c>
      <c r="F59" s="10">
        <v>0.2</v>
      </c>
      <c r="G59" s="8"/>
      <c r="H59" s="26" t="s">
        <v>163</v>
      </c>
      <c r="K59" s="5"/>
    </row>
    <row r="60" spans="1:13" ht="20.100000000000001" customHeight="1">
      <c r="A60" s="158" t="s">
        <v>18</v>
      </c>
      <c r="B60" s="158"/>
      <c r="C60" s="158"/>
      <c r="D60" s="54">
        <f>ROUND(SUM(D53:D59),2)</f>
        <v>841.16</v>
      </c>
      <c r="F60" s="9"/>
      <c r="G60" s="8"/>
      <c r="K60" s="5"/>
    </row>
    <row r="61" spans="1:13" ht="20.100000000000001" customHeight="1">
      <c r="A61" s="31"/>
      <c r="B61" s="38"/>
      <c r="C61" s="31"/>
      <c r="D61" s="43"/>
      <c r="F61" s="9"/>
      <c r="G61" s="8"/>
      <c r="K61" s="5"/>
    </row>
    <row r="62" spans="1:13" ht="20.100000000000001" customHeight="1">
      <c r="A62" s="158" t="s">
        <v>50</v>
      </c>
      <c r="B62" s="158"/>
      <c r="C62" s="158"/>
      <c r="D62" s="158"/>
      <c r="F62" s="9"/>
      <c r="G62" s="8"/>
      <c r="K62" s="5"/>
    </row>
    <row r="63" spans="1:13" ht="20.100000000000001" customHeight="1">
      <c r="A63" s="46">
        <v>2</v>
      </c>
      <c r="B63" s="159" t="s">
        <v>51</v>
      </c>
      <c r="C63" s="159"/>
      <c r="D63" s="46" t="s">
        <v>9</v>
      </c>
      <c r="F63" s="9"/>
      <c r="G63" s="8"/>
      <c r="K63" s="5"/>
    </row>
    <row r="64" spans="1:13" ht="20.100000000000001" customHeight="1">
      <c r="A64" s="46" t="s">
        <v>32</v>
      </c>
      <c r="B64" s="155" t="s">
        <v>33</v>
      </c>
      <c r="C64" s="155"/>
      <c r="D64" s="49">
        <f>ROUND(D37,2)</f>
        <v>466.45</v>
      </c>
      <c r="F64" s="9"/>
      <c r="G64" s="8"/>
      <c r="K64" s="5"/>
    </row>
    <row r="65" spans="1:13" ht="20.100000000000001" customHeight="1">
      <c r="A65" s="46" t="s">
        <v>36</v>
      </c>
      <c r="B65" s="155" t="s">
        <v>37</v>
      </c>
      <c r="C65" s="155"/>
      <c r="D65" s="49">
        <f>ROUND(D49,2)</f>
        <v>1111.02</v>
      </c>
      <c r="F65" s="9"/>
      <c r="G65" s="8"/>
      <c r="K65" s="5"/>
    </row>
    <row r="66" spans="1:13" ht="20.100000000000001" customHeight="1">
      <c r="A66" s="46" t="s">
        <v>48</v>
      </c>
      <c r="B66" s="155" t="s">
        <v>17</v>
      </c>
      <c r="C66" s="155"/>
      <c r="D66" s="49">
        <f>ROUND(D60,2)</f>
        <v>841.16</v>
      </c>
      <c r="F66" s="9"/>
      <c r="G66" s="8"/>
      <c r="K66" s="5"/>
    </row>
    <row r="67" spans="1:13" ht="20.100000000000001" customHeight="1">
      <c r="A67" s="159" t="s">
        <v>22</v>
      </c>
      <c r="B67" s="159"/>
      <c r="C67" s="159"/>
      <c r="D67" s="42">
        <f>ROUND(SUM(D64:D66),2)</f>
        <v>2418.63</v>
      </c>
      <c r="F67" s="9"/>
      <c r="G67" s="8"/>
      <c r="K67" s="5"/>
    </row>
    <row r="68" spans="1:13" ht="20.100000000000001" customHeight="1">
      <c r="A68" s="31"/>
      <c r="B68" s="38"/>
      <c r="C68" s="31"/>
      <c r="D68" s="43"/>
      <c r="F68" s="9"/>
      <c r="G68" s="8"/>
      <c r="K68" s="5"/>
    </row>
    <row r="69" spans="1:13" ht="20.100000000000001" customHeight="1">
      <c r="A69" s="161" t="s">
        <v>52</v>
      </c>
      <c r="B69" s="161"/>
      <c r="C69" s="161"/>
      <c r="D69" s="161"/>
      <c r="F69" s="9"/>
      <c r="G69" s="8"/>
      <c r="K69" s="5"/>
    </row>
    <row r="70" spans="1:13" ht="20.100000000000001" customHeight="1">
      <c r="A70" s="46">
        <v>3</v>
      </c>
      <c r="B70" s="50" t="s">
        <v>23</v>
      </c>
      <c r="C70" s="46" t="s">
        <v>38</v>
      </c>
      <c r="D70" s="46" t="s">
        <v>9</v>
      </c>
      <c r="F70" s="9"/>
      <c r="G70" s="8"/>
      <c r="K70" s="5"/>
    </row>
    <row r="71" spans="1:13" ht="20.100000000000001" customHeight="1">
      <c r="A71" s="46" t="s">
        <v>1</v>
      </c>
      <c r="B71" s="47" t="s">
        <v>53</v>
      </c>
      <c r="C71" s="55">
        <f>1/12*0.05</f>
        <v>4.1999999999999997E-3</v>
      </c>
      <c r="D71" s="49">
        <f>ROUND(($D$27+$D$94)*C71,2)</f>
        <v>12.97</v>
      </c>
      <c r="F71" s="188" t="s">
        <v>123</v>
      </c>
      <c r="G71" s="188"/>
      <c r="H71" s="188"/>
      <c r="I71" s="188"/>
      <c r="J71" s="188"/>
      <c r="K71" s="188"/>
    </row>
    <row r="72" spans="1:13" ht="20.100000000000001" customHeight="1">
      <c r="A72" s="46" t="s">
        <v>3</v>
      </c>
      <c r="B72" s="47" t="s">
        <v>54</v>
      </c>
      <c r="C72" s="56">
        <f>C71*C48</f>
        <v>3.3599999999999998E-4</v>
      </c>
      <c r="D72" s="49">
        <f>ROUND(($D$27+$D$94)*C72,2)</f>
        <v>1.04</v>
      </c>
      <c r="F72" s="188" t="s">
        <v>124</v>
      </c>
      <c r="G72" s="188"/>
      <c r="H72" s="188"/>
      <c r="K72" s="73"/>
    </row>
    <row r="73" spans="1:13" ht="19.5" customHeight="1">
      <c r="A73" s="46" t="s">
        <v>4</v>
      </c>
      <c r="B73" s="47" t="s">
        <v>108</v>
      </c>
      <c r="C73" s="55">
        <v>6.4999999999999997E-3</v>
      </c>
      <c r="D73" s="49">
        <f>ROUND($D$27*C73,2)</f>
        <v>20.07</v>
      </c>
      <c r="F73" s="188" t="s">
        <v>125</v>
      </c>
      <c r="G73" s="188"/>
      <c r="H73" s="188"/>
      <c r="I73" s="188"/>
      <c r="J73" s="188"/>
      <c r="K73" s="188"/>
    </row>
    <row r="74" spans="1:13" ht="20.100000000000001" customHeight="1">
      <c r="A74" s="46" t="s">
        <v>5</v>
      </c>
      <c r="B74" s="47" t="s">
        <v>97</v>
      </c>
      <c r="C74" s="55">
        <f>7/30/12</f>
        <v>1.9400000000000001E-2</v>
      </c>
      <c r="D74" s="49">
        <f>ROUND(($D$27+$D$94)*C74,2)</f>
        <v>59.89</v>
      </c>
      <c r="F74" s="188" t="s">
        <v>126</v>
      </c>
      <c r="G74" s="188"/>
      <c r="H74" s="188"/>
      <c r="I74" s="188"/>
      <c r="J74" s="188"/>
      <c r="K74" s="188"/>
    </row>
    <row r="75" spans="1:13" ht="32.25" customHeight="1">
      <c r="A75" s="46" t="s">
        <v>12</v>
      </c>
      <c r="B75" s="47" t="s">
        <v>55</v>
      </c>
      <c r="C75" s="55">
        <f>C74*C49</f>
        <v>7.0000000000000001E-3</v>
      </c>
      <c r="D75" s="49">
        <f>ROUND(($D$27+$D$94)*C75,2)</f>
        <v>21.61</v>
      </c>
      <c r="F75" s="188" t="s">
        <v>127</v>
      </c>
      <c r="G75" s="188"/>
      <c r="H75" s="188"/>
      <c r="K75" s="73"/>
    </row>
    <row r="76" spans="1:13" ht="21.75" customHeight="1">
      <c r="A76" s="46" t="s">
        <v>4</v>
      </c>
      <c r="B76" s="47" t="s">
        <v>109</v>
      </c>
      <c r="C76" s="55">
        <f>40%*8%</f>
        <v>3.2000000000000001E-2</v>
      </c>
      <c r="D76" s="49">
        <f>ROUND($D$27*C76,2)</f>
        <v>98.78</v>
      </c>
      <c r="F76" s="188" t="s">
        <v>125</v>
      </c>
      <c r="G76" s="188"/>
      <c r="H76" s="188"/>
      <c r="K76" s="73"/>
    </row>
    <row r="77" spans="1:13" ht="20.100000000000001" customHeight="1">
      <c r="A77" s="159" t="s">
        <v>22</v>
      </c>
      <c r="B77" s="159"/>
      <c r="C77" s="57">
        <f>ROUND(SUM(C71:C76),4)</f>
        <v>6.9400000000000003E-2</v>
      </c>
      <c r="D77" s="54">
        <f>ROUND(SUM(D71:D76),2)</f>
        <v>214.36</v>
      </c>
      <c r="F77" s="9"/>
      <c r="G77" s="8"/>
      <c r="K77" s="5"/>
      <c r="M77" s="5"/>
    </row>
    <row r="78" spans="1:13" ht="20.100000000000001" customHeight="1">
      <c r="A78" s="45"/>
      <c r="B78" s="45"/>
      <c r="C78" s="45"/>
      <c r="D78" s="43"/>
      <c r="F78" s="9"/>
      <c r="G78" s="8"/>
      <c r="K78" s="5"/>
    </row>
    <row r="79" spans="1:13" ht="20.100000000000001" customHeight="1">
      <c r="A79" s="168" t="s">
        <v>56</v>
      </c>
      <c r="B79" s="168"/>
      <c r="C79" s="168"/>
      <c r="D79" s="168"/>
      <c r="F79" s="9"/>
      <c r="G79" s="8"/>
      <c r="K79" s="5"/>
      <c r="L79" s="3"/>
    </row>
    <row r="80" spans="1:13" ht="20.100000000000001" customHeight="1">
      <c r="A80" s="45"/>
      <c r="B80" s="45"/>
      <c r="C80" s="45"/>
      <c r="D80" s="45"/>
      <c r="K80" s="6"/>
    </row>
    <row r="81" spans="1:13" ht="20.100000000000001" customHeight="1">
      <c r="A81" s="161" t="s">
        <v>57</v>
      </c>
      <c r="B81" s="161"/>
      <c r="C81" s="161"/>
      <c r="D81" s="161"/>
      <c r="K81" s="6"/>
    </row>
    <row r="82" spans="1:13" ht="20.100000000000001" customHeight="1">
      <c r="A82" s="46" t="s">
        <v>20</v>
      </c>
      <c r="B82" s="50" t="s">
        <v>58</v>
      </c>
      <c r="C82" s="46" t="s">
        <v>38</v>
      </c>
      <c r="D82" s="46" t="s">
        <v>9</v>
      </c>
      <c r="F82" s="2"/>
      <c r="G82" s="2"/>
      <c r="K82" s="6"/>
    </row>
    <row r="83" spans="1:13" ht="20.100000000000001" customHeight="1">
      <c r="A83" s="46" t="s">
        <v>1</v>
      </c>
      <c r="B83" s="47" t="s">
        <v>59</v>
      </c>
      <c r="C83" s="55">
        <f>1/12</f>
        <v>8.3299999999999999E-2</v>
      </c>
      <c r="D83" s="49">
        <f t="shared" ref="D83:D89" si="1">ROUND(($D$27+$D$67+$D$77)*C83,2)</f>
        <v>476.48</v>
      </c>
      <c r="F83" s="186"/>
      <c r="G83" s="186"/>
      <c r="H83" s="186"/>
      <c r="I83" s="77"/>
      <c r="J83" s="77"/>
      <c r="K83" s="78"/>
    </row>
    <row r="84" spans="1:13" ht="20.100000000000001" customHeight="1">
      <c r="A84" s="46" t="s">
        <v>3</v>
      </c>
      <c r="B84" s="47" t="s">
        <v>58</v>
      </c>
      <c r="C84" s="55">
        <f>0.05/365</f>
        <v>1E-4</v>
      </c>
      <c r="D84" s="49">
        <f t="shared" si="1"/>
        <v>0.56999999999999995</v>
      </c>
      <c r="E84" s="4"/>
      <c r="F84" s="186"/>
      <c r="G84" s="186"/>
      <c r="H84" s="186"/>
      <c r="I84" s="77"/>
      <c r="J84" s="77"/>
      <c r="K84" s="77"/>
    </row>
    <row r="85" spans="1:13" ht="27" customHeight="1">
      <c r="A85" s="46" t="s">
        <v>4</v>
      </c>
      <c r="B85" s="47" t="s">
        <v>110</v>
      </c>
      <c r="C85" s="55">
        <f>5/30/12*0.005</f>
        <v>1E-4</v>
      </c>
      <c r="D85" s="49">
        <f t="shared" si="1"/>
        <v>0.56999999999999995</v>
      </c>
      <c r="F85" s="186"/>
      <c r="G85" s="186"/>
      <c r="H85" s="186"/>
      <c r="I85" s="186"/>
      <c r="J85" s="186"/>
      <c r="K85" s="186"/>
    </row>
    <row r="86" spans="1:13" ht="20.100000000000001" customHeight="1">
      <c r="A86" s="46" t="s">
        <v>5</v>
      </c>
      <c r="B86" s="47" t="s">
        <v>28</v>
      </c>
      <c r="C86" s="55">
        <f>15/30/12*0.003</f>
        <v>1E-4</v>
      </c>
      <c r="D86" s="49">
        <f t="shared" si="1"/>
        <v>0.56999999999999995</v>
      </c>
      <c r="F86" s="186"/>
      <c r="G86" s="186"/>
      <c r="H86" s="186"/>
      <c r="I86" s="186"/>
      <c r="J86" s="186"/>
      <c r="K86" s="186"/>
    </row>
    <row r="87" spans="1:13" ht="22.5" customHeight="1">
      <c r="A87" s="46" t="s">
        <v>12</v>
      </c>
      <c r="B87" s="47" t="s">
        <v>111</v>
      </c>
      <c r="C87" s="55">
        <f>0.005*(4/12)/12</f>
        <v>1E-4</v>
      </c>
      <c r="D87" s="49">
        <f t="shared" si="1"/>
        <v>0.56999999999999995</v>
      </c>
      <c r="F87" s="186"/>
      <c r="G87" s="186"/>
      <c r="H87" s="186"/>
      <c r="I87" s="186"/>
      <c r="J87" s="186"/>
      <c r="K87" s="186"/>
    </row>
    <row r="88" spans="1:13" ht="20.100000000000001" customHeight="1">
      <c r="A88" s="46" t="s">
        <v>13</v>
      </c>
      <c r="B88" s="47" t="s">
        <v>85</v>
      </c>
      <c r="C88" s="55">
        <f>0.05/365</f>
        <v>1E-4</v>
      </c>
      <c r="D88" s="49">
        <f t="shared" si="1"/>
        <v>0.56999999999999995</v>
      </c>
      <c r="E88" s="5"/>
      <c r="F88" s="186"/>
      <c r="G88" s="186"/>
      <c r="H88" s="186"/>
      <c r="I88" s="77"/>
      <c r="J88" s="77"/>
      <c r="K88" s="77"/>
    </row>
    <row r="89" spans="1:13" ht="20.100000000000001" customHeight="1">
      <c r="A89" s="46" t="s">
        <v>14</v>
      </c>
      <c r="B89" s="47" t="s">
        <v>84</v>
      </c>
      <c r="C89" s="55"/>
      <c r="D89" s="49">
        <f t="shared" si="1"/>
        <v>0</v>
      </c>
      <c r="E89" s="5"/>
      <c r="F89" s="189"/>
      <c r="G89" s="189"/>
      <c r="H89" s="189"/>
      <c r="I89" s="189"/>
      <c r="J89" s="189"/>
      <c r="K89" s="189"/>
    </row>
    <row r="90" spans="1:13" ht="20.100000000000001" customHeight="1">
      <c r="A90" s="159" t="s">
        <v>22</v>
      </c>
      <c r="B90" s="159"/>
      <c r="C90" s="51">
        <f>ROUND(SUM(C83:C89),4)</f>
        <v>8.3799999999999999E-2</v>
      </c>
      <c r="D90" s="42">
        <f>ROUND(SUM(D83:D89),2)</f>
        <v>479.33</v>
      </c>
      <c r="F90" s="74"/>
      <c r="M90" s="5"/>
    </row>
    <row r="91" spans="1:13" ht="20.100000000000001" customHeight="1">
      <c r="A91" s="45"/>
      <c r="B91" s="45"/>
      <c r="C91" s="32"/>
      <c r="D91" s="43"/>
      <c r="F91" s="13"/>
      <c r="M91" s="13"/>
    </row>
    <row r="92" spans="1:13" ht="20.100000000000001" customHeight="1">
      <c r="A92" s="161" t="s">
        <v>60</v>
      </c>
      <c r="B92" s="161"/>
      <c r="C92" s="161"/>
      <c r="D92" s="161"/>
    </row>
    <row r="93" spans="1:13" ht="20.100000000000001" customHeight="1">
      <c r="A93" s="46" t="s">
        <v>21</v>
      </c>
      <c r="B93" s="50" t="s">
        <v>61</v>
      </c>
      <c r="C93" s="46" t="s">
        <v>38</v>
      </c>
      <c r="D93" s="46" t="s">
        <v>9</v>
      </c>
      <c r="E93" s="3"/>
    </row>
    <row r="94" spans="1:13" ht="20.100000000000001" customHeight="1">
      <c r="A94" s="46" t="s">
        <v>1</v>
      </c>
      <c r="B94" s="47" t="s">
        <v>62</v>
      </c>
      <c r="C94" s="55">
        <f>D94/D27</f>
        <v>0</v>
      </c>
      <c r="D94" s="41">
        <v>0</v>
      </c>
      <c r="E94" s="7"/>
    </row>
    <row r="95" spans="1:13" ht="20.100000000000001" customHeight="1">
      <c r="A95" s="164" t="s">
        <v>22</v>
      </c>
      <c r="B95" s="165"/>
      <c r="C95" s="166"/>
      <c r="D95" s="41">
        <f>ROUND(D94,2)</f>
        <v>0</v>
      </c>
    </row>
    <row r="96" spans="1:13" ht="20.100000000000001" customHeight="1">
      <c r="A96" s="31"/>
      <c r="B96" s="38"/>
      <c r="C96" s="31"/>
      <c r="D96" s="43"/>
    </row>
    <row r="97" spans="1:5" ht="20.100000000000001" customHeight="1">
      <c r="A97" s="161" t="s">
        <v>63</v>
      </c>
      <c r="B97" s="161"/>
      <c r="C97" s="161"/>
      <c r="D97" s="161"/>
    </row>
    <row r="98" spans="1:5" ht="20.100000000000001" customHeight="1">
      <c r="A98" s="46">
        <v>4</v>
      </c>
      <c r="B98" s="159" t="s">
        <v>64</v>
      </c>
      <c r="C98" s="159"/>
      <c r="D98" s="46" t="s">
        <v>9</v>
      </c>
    </row>
    <row r="99" spans="1:5" ht="20.100000000000001" customHeight="1">
      <c r="A99" s="52" t="s">
        <v>20</v>
      </c>
      <c r="B99" s="155" t="s">
        <v>58</v>
      </c>
      <c r="C99" s="155"/>
      <c r="D99" s="49">
        <f>ROUND(D90,2)</f>
        <v>479.33</v>
      </c>
    </row>
    <row r="100" spans="1:5" ht="20.100000000000001" customHeight="1">
      <c r="A100" s="52" t="s">
        <v>21</v>
      </c>
      <c r="B100" s="155" t="s">
        <v>61</v>
      </c>
      <c r="C100" s="155"/>
      <c r="D100" s="49">
        <f>ROUND(D95,2)</f>
        <v>0</v>
      </c>
    </row>
    <row r="101" spans="1:5" ht="20.100000000000001" customHeight="1">
      <c r="A101" s="159" t="s">
        <v>22</v>
      </c>
      <c r="B101" s="159"/>
      <c r="C101" s="159"/>
      <c r="D101" s="42">
        <f>ROUND(SUM(D99:D100),2)</f>
        <v>479.33</v>
      </c>
    </row>
    <row r="102" spans="1:5" ht="20.100000000000001" customHeight="1">
      <c r="A102" s="31"/>
      <c r="B102" s="38"/>
      <c r="C102" s="31"/>
      <c r="D102" s="43"/>
      <c r="E102" s="5"/>
    </row>
    <row r="103" spans="1:5" ht="20.100000000000001" customHeight="1">
      <c r="A103" s="158" t="s">
        <v>65</v>
      </c>
      <c r="B103" s="158"/>
      <c r="C103" s="158"/>
      <c r="D103" s="158"/>
    </row>
    <row r="104" spans="1:5" ht="20.100000000000001" customHeight="1">
      <c r="A104" s="33">
        <v>5</v>
      </c>
      <c r="B104" s="158" t="s">
        <v>103</v>
      </c>
      <c r="C104" s="158"/>
      <c r="D104" s="33" t="s">
        <v>9</v>
      </c>
    </row>
    <row r="105" spans="1:5" ht="20.100000000000001" customHeight="1">
      <c r="A105" s="33" t="s">
        <v>1</v>
      </c>
      <c r="B105" s="163" t="s">
        <v>89</v>
      </c>
      <c r="C105" s="163"/>
      <c r="D105" s="41">
        <f>VLOOKUP(A14,'Entrada de dados'!A2:N10,9,FALSE)</f>
        <v>19.920000000000002</v>
      </c>
    </row>
    <row r="106" spans="1:5" ht="20.100000000000001" customHeight="1">
      <c r="A106" s="96" t="s">
        <v>3</v>
      </c>
      <c r="B106" s="163" t="s">
        <v>321</v>
      </c>
      <c r="C106" s="163"/>
      <c r="D106" s="41">
        <f>VLOOKUP(A14,'Entrada de dados'!A2:N10,10,FALSE)</f>
        <v>0</v>
      </c>
    </row>
    <row r="107" spans="1:5" ht="20.100000000000001" customHeight="1">
      <c r="A107" s="96" t="s">
        <v>3</v>
      </c>
      <c r="B107" s="163" t="s">
        <v>83</v>
      </c>
      <c r="C107" s="163"/>
      <c r="D107" s="41">
        <f>VLOOKUP(A14,'Entrada de dados'!A2:N10,11,FALSE)</f>
        <v>0</v>
      </c>
    </row>
    <row r="108" spans="1:5" ht="20.100000000000001" customHeight="1">
      <c r="A108" s="96" t="s">
        <v>3</v>
      </c>
      <c r="B108" s="163" t="s">
        <v>322</v>
      </c>
      <c r="C108" s="163"/>
      <c r="D108" s="41">
        <f>VLOOKUP(A14,'Entrada de dados'!A2:N10,12,FALSE)</f>
        <v>0</v>
      </c>
    </row>
    <row r="109" spans="1:5" ht="20.100000000000001" customHeight="1">
      <c r="A109" s="33" t="s">
        <v>3</v>
      </c>
      <c r="B109" s="163" t="s">
        <v>141</v>
      </c>
      <c r="C109" s="163"/>
      <c r="D109" s="41">
        <f>VLOOKUP(A14,'Entrada de dados'!A2:N10,13,FALSE)</f>
        <v>18.78</v>
      </c>
    </row>
    <row r="110" spans="1:5" ht="20.100000000000001" customHeight="1">
      <c r="A110" s="58" t="s">
        <v>4</v>
      </c>
      <c r="B110" s="163" t="s">
        <v>323</v>
      </c>
      <c r="C110" s="163"/>
      <c r="D110" s="41">
        <f>VLOOKUP(A14,'Entrada de dados'!A2:N10,14,FALSE)</f>
        <v>25.67</v>
      </c>
    </row>
    <row r="111" spans="1:5" ht="20.100000000000001" customHeight="1">
      <c r="A111" s="58" t="s">
        <v>5</v>
      </c>
      <c r="B111" s="163" t="s">
        <v>324</v>
      </c>
      <c r="C111" s="163"/>
      <c r="D111" s="41">
        <v>0</v>
      </c>
    </row>
    <row r="112" spans="1:5" ht="20.100000000000001" customHeight="1">
      <c r="A112" s="158" t="s">
        <v>19</v>
      </c>
      <c r="B112" s="158"/>
      <c r="C112" s="158"/>
      <c r="D112" s="54">
        <f>ROUND(SUM(D105:D111),2)</f>
        <v>64.37</v>
      </c>
    </row>
    <row r="113" spans="1:8" ht="20.100000000000001" customHeight="1">
      <c r="A113" s="167"/>
      <c r="B113" s="167"/>
      <c r="C113" s="167"/>
      <c r="D113" s="32"/>
    </row>
    <row r="114" spans="1:8" ht="20.100000000000001" customHeight="1">
      <c r="A114" s="158" t="s">
        <v>79</v>
      </c>
      <c r="B114" s="158"/>
      <c r="C114" s="158"/>
      <c r="D114" s="158"/>
    </row>
    <row r="115" spans="1:8" ht="20.100000000000001" customHeight="1">
      <c r="A115" s="46">
        <v>6</v>
      </c>
      <c r="B115" s="50" t="s">
        <v>24</v>
      </c>
      <c r="C115" s="46" t="s">
        <v>38</v>
      </c>
      <c r="D115" s="46" t="s">
        <v>9</v>
      </c>
    </row>
    <row r="116" spans="1:8" ht="20.100000000000001" customHeight="1">
      <c r="A116" s="46" t="s">
        <v>1</v>
      </c>
      <c r="B116" s="47" t="s">
        <v>25</v>
      </c>
      <c r="C116" s="59">
        <v>7.2889599999999997E-3</v>
      </c>
      <c r="D116" s="41">
        <f>D132*C116</f>
        <v>45.66</v>
      </c>
    </row>
    <row r="117" spans="1:8" ht="20.100000000000001" customHeight="1">
      <c r="A117" s="46" t="s">
        <v>3</v>
      </c>
      <c r="B117" s="47" t="s">
        <v>66</v>
      </c>
      <c r="C117" s="59">
        <v>7.7999999999999996E-3</v>
      </c>
      <c r="D117" s="41">
        <f>(D132+D116)*C117</f>
        <v>49.21</v>
      </c>
      <c r="E117" s="126"/>
    </row>
    <row r="118" spans="1:8" ht="20.100000000000001" customHeight="1">
      <c r="A118" s="46" t="s">
        <v>4</v>
      </c>
      <c r="B118" s="47" t="s">
        <v>67</v>
      </c>
      <c r="C118" s="60"/>
      <c r="D118" s="41"/>
    </row>
    <row r="119" spans="1:8" ht="20.100000000000001" customHeight="1">
      <c r="A119" s="46"/>
      <c r="B119" s="47" t="s">
        <v>88</v>
      </c>
      <c r="C119" s="61">
        <v>6.4999999999999997E-3</v>
      </c>
      <c r="D119" s="41">
        <f>ROUND((D132+D116+D117)/(1-$C$122)*C119,2)</f>
        <v>45.24</v>
      </c>
      <c r="F119" s="187"/>
    </row>
    <row r="120" spans="1:8" ht="20.100000000000001" customHeight="1">
      <c r="A120" s="46"/>
      <c r="B120" s="47" t="s">
        <v>87</v>
      </c>
      <c r="C120" s="61">
        <v>0.03</v>
      </c>
      <c r="D120" s="41">
        <f>ROUND((D132+D116+D117)/(1-$C$122)*C120,2)</f>
        <v>208.82</v>
      </c>
      <c r="F120" s="187"/>
    </row>
    <row r="121" spans="1:8" ht="20.100000000000001" customHeight="1">
      <c r="A121" s="52"/>
      <c r="B121" s="47" t="s">
        <v>86</v>
      </c>
      <c r="C121" s="61">
        <v>0.05</v>
      </c>
      <c r="D121" s="41">
        <f>ROUND((D132+D116+D117)/(1-$C$122)*C121,2)</f>
        <v>348.03</v>
      </c>
      <c r="F121" s="70" t="s">
        <v>165</v>
      </c>
      <c r="G121" s="70"/>
      <c r="H121" s="70"/>
    </row>
    <row r="122" spans="1:8" ht="20.100000000000001" customHeight="1">
      <c r="A122" s="46"/>
      <c r="B122" s="62" t="s">
        <v>80</v>
      </c>
      <c r="C122" s="60">
        <f>SUM(C119:C121)</f>
        <v>8.6499999999999994E-2</v>
      </c>
      <c r="D122" s="42">
        <f>ROUND(SUM(D119:D121),2)</f>
        <v>602.09</v>
      </c>
    </row>
    <row r="123" spans="1:8" ht="20.100000000000001" customHeight="1">
      <c r="A123" s="164" t="s">
        <v>81</v>
      </c>
      <c r="B123" s="165"/>
      <c r="C123" s="166"/>
      <c r="D123" s="42">
        <f>ROUND(D122+D116+D117,2)</f>
        <v>696.96</v>
      </c>
    </row>
    <row r="124" spans="1:8" ht="20.100000000000001" customHeight="1">
      <c r="A124" s="63"/>
      <c r="B124" s="32"/>
      <c r="C124" s="32"/>
      <c r="D124" s="32"/>
    </row>
    <row r="125" spans="1:8" ht="20.100000000000001" customHeight="1">
      <c r="A125" s="161" t="s">
        <v>68</v>
      </c>
      <c r="B125" s="161"/>
      <c r="C125" s="161"/>
      <c r="D125" s="161"/>
      <c r="F125" s="2"/>
    </row>
    <row r="126" spans="1:8" ht="20.100000000000001" customHeight="1">
      <c r="A126" s="52"/>
      <c r="B126" s="159" t="s">
        <v>69</v>
      </c>
      <c r="C126" s="159"/>
      <c r="D126" s="46" t="s">
        <v>9</v>
      </c>
    </row>
    <row r="127" spans="1:8" ht="20.100000000000001" customHeight="1">
      <c r="A127" s="46" t="s">
        <v>1</v>
      </c>
      <c r="B127" s="155" t="s">
        <v>26</v>
      </c>
      <c r="C127" s="155"/>
      <c r="D127" s="64">
        <f>ROUND(D27,2)</f>
        <v>3087</v>
      </c>
      <c r="F127" s="27" t="s">
        <v>132</v>
      </c>
    </row>
    <row r="128" spans="1:8" ht="25.5">
      <c r="A128" s="46" t="s">
        <v>3</v>
      </c>
      <c r="B128" s="155" t="s">
        <v>70</v>
      </c>
      <c r="C128" s="155"/>
      <c r="D128" s="65">
        <f>ROUND(D67,2)</f>
        <v>2418.63</v>
      </c>
      <c r="F128" s="27" t="s">
        <v>133</v>
      </c>
      <c r="G128" s="2"/>
    </row>
    <row r="129" spans="1:7" ht="25.5">
      <c r="A129" s="46" t="s">
        <v>4</v>
      </c>
      <c r="B129" s="155" t="s">
        <v>52</v>
      </c>
      <c r="C129" s="155"/>
      <c r="D129" s="64">
        <f>ROUND(D77,2)</f>
        <v>214.36</v>
      </c>
      <c r="F129" s="27" t="s">
        <v>134</v>
      </c>
    </row>
    <row r="130" spans="1:7" ht="25.5">
      <c r="A130" s="46" t="s">
        <v>5</v>
      </c>
      <c r="B130" s="155" t="s">
        <v>56</v>
      </c>
      <c r="C130" s="155"/>
      <c r="D130" s="64">
        <f>ROUND(D101,2)</f>
        <v>479.33</v>
      </c>
      <c r="F130" s="27" t="s">
        <v>135</v>
      </c>
    </row>
    <row r="131" spans="1:7" ht="25.5">
      <c r="A131" s="46" t="s">
        <v>12</v>
      </c>
      <c r="B131" s="155" t="s">
        <v>71</v>
      </c>
      <c r="C131" s="155"/>
      <c r="D131" s="64">
        <f>ROUND(D112,2)</f>
        <v>64.37</v>
      </c>
      <c r="F131" s="27" t="s">
        <v>136</v>
      </c>
    </row>
    <row r="132" spans="1:7" ht="25.5">
      <c r="A132" s="159" t="s">
        <v>72</v>
      </c>
      <c r="B132" s="159"/>
      <c r="C132" s="159"/>
      <c r="D132" s="64">
        <f>ROUND(SUM(D127:D131),2)</f>
        <v>6263.69</v>
      </c>
      <c r="F132" s="27" t="s">
        <v>137</v>
      </c>
    </row>
    <row r="133" spans="1:7" ht="20.100000000000001" customHeight="1">
      <c r="A133" s="46" t="s">
        <v>13</v>
      </c>
      <c r="B133" s="155" t="s">
        <v>73</v>
      </c>
      <c r="C133" s="155"/>
      <c r="D133" s="64">
        <f>ROUND(D123,2)</f>
        <v>696.96</v>
      </c>
    </row>
    <row r="134" spans="1:7" ht="20.100000000000001" customHeight="1">
      <c r="A134" s="159" t="s">
        <v>82</v>
      </c>
      <c r="B134" s="159"/>
      <c r="C134" s="159"/>
      <c r="D134" s="64">
        <f>ROUND(D132+D133,2)</f>
        <v>6960.65</v>
      </c>
    </row>
    <row r="135" spans="1:7" ht="20.100000000000001" customHeight="1">
      <c r="A135" s="63"/>
      <c r="B135" s="32"/>
      <c r="C135" s="32"/>
      <c r="D135" s="32"/>
    </row>
    <row r="136" spans="1:7" ht="20.100000000000001" customHeight="1">
      <c r="A136" s="161" t="s">
        <v>74</v>
      </c>
      <c r="B136" s="161"/>
      <c r="C136" s="161"/>
      <c r="D136" s="161"/>
    </row>
    <row r="137" spans="1:7" ht="20.100000000000001" customHeight="1">
      <c r="A137" s="159" t="s">
        <v>75</v>
      </c>
      <c r="B137" s="159"/>
      <c r="C137" s="159"/>
      <c r="D137" s="159"/>
    </row>
    <row r="138" spans="1:7" ht="20.100000000000001" customHeight="1">
      <c r="A138" s="52"/>
      <c r="B138" s="159" t="s">
        <v>76</v>
      </c>
      <c r="C138" s="159"/>
      <c r="D138" s="46" t="s">
        <v>77</v>
      </c>
    </row>
    <row r="139" spans="1:7" ht="20.100000000000001" customHeight="1">
      <c r="A139" s="46" t="s">
        <v>1</v>
      </c>
      <c r="B139" s="155" t="s">
        <v>143</v>
      </c>
      <c r="C139" s="155"/>
      <c r="D139" s="66">
        <f>D134</f>
        <v>6960.65</v>
      </c>
      <c r="G139" s="9"/>
    </row>
    <row r="140" spans="1:7" ht="20.100000000000001" customHeight="1">
      <c r="A140" s="46" t="s">
        <v>3</v>
      </c>
      <c r="B140" s="155" t="s">
        <v>96</v>
      </c>
      <c r="C140" s="155"/>
      <c r="D140" s="67">
        <f>D14</f>
        <v>1</v>
      </c>
    </row>
    <row r="141" spans="1:7" ht="20.100000000000001" customHeight="1">
      <c r="A141" s="46" t="s">
        <v>4</v>
      </c>
      <c r="B141" s="155" t="s">
        <v>144</v>
      </c>
      <c r="C141" s="155"/>
      <c r="D141" s="68">
        <f>D139*D140</f>
        <v>6960.65</v>
      </c>
    </row>
    <row r="142" spans="1:7" ht="30.75" customHeight="1">
      <c r="A142" s="46" t="s">
        <v>5</v>
      </c>
      <c r="B142" s="155" t="s">
        <v>78</v>
      </c>
      <c r="C142" s="155"/>
      <c r="D142" s="69">
        <f>D141*30</f>
        <v>208819.5</v>
      </c>
    </row>
    <row r="144" spans="1:7">
      <c r="A144" s="162"/>
      <c r="B144" s="162"/>
      <c r="C144" s="162"/>
      <c r="D144" s="162"/>
    </row>
    <row r="148" spans="1:4">
      <c r="A148" s="162"/>
      <c r="B148" s="162"/>
      <c r="C148" s="162"/>
      <c r="D148" s="162"/>
    </row>
    <row r="149" spans="1:4">
      <c r="A149" s="162"/>
      <c r="B149" s="162"/>
      <c r="C149" s="162"/>
      <c r="D149" s="162"/>
    </row>
    <row r="150" spans="1:4">
      <c r="A150" s="162"/>
      <c r="B150" s="162"/>
      <c r="C150" s="162"/>
      <c r="D150" s="162"/>
    </row>
    <row r="151" spans="1:4">
      <c r="A151" s="162"/>
      <c r="B151" s="162"/>
      <c r="C151" s="162"/>
      <c r="D151" s="162"/>
    </row>
  </sheetData>
  <mergeCells count="108">
    <mergeCell ref="A16:C16"/>
    <mergeCell ref="F88:H88"/>
    <mergeCell ref="F119:F120"/>
    <mergeCell ref="F76:H76"/>
    <mergeCell ref="F83:H83"/>
    <mergeCell ref="F84:H84"/>
    <mergeCell ref="F72:H72"/>
    <mergeCell ref="F75:H75"/>
    <mergeCell ref="F71:K71"/>
    <mergeCell ref="F73:K73"/>
    <mergeCell ref="F74:K74"/>
    <mergeCell ref="F85:K85"/>
    <mergeCell ref="F86:K86"/>
    <mergeCell ref="F87:K87"/>
    <mergeCell ref="F89:K89"/>
    <mergeCell ref="B100:C100"/>
    <mergeCell ref="A49:B49"/>
    <mergeCell ref="B21:C21"/>
    <mergeCell ref="A18:C18"/>
    <mergeCell ref="A19:D19"/>
    <mergeCell ref="B20:C20"/>
    <mergeCell ref="A27:C27"/>
    <mergeCell ref="A29:D29"/>
    <mergeCell ref="A31:D31"/>
    <mergeCell ref="C14:C15"/>
    <mergeCell ref="D14:D15"/>
    <mergeCell ref="A1:D1"/>
    <mergeCell ref="A2:D2"/>
    <mergeCell ref="A7:D7"/>
    <mergeCell ref="B8:C8"/>
    <mergeCell ref="B9:C9"/>
    <mergeCell ref="B10:C10"/>
    <mergeCell ref="B11:C11"/>
    <mergeCell ref="A13:B13"/>
    <mergeCell ref="B5:D5"/>
    <mergeCell ref="A3:D3"/>
    <mergeCell ref="A4:D4"/>
    <mergeCell ref="A14:B15"/>
    <mergeCell ref="B99:C99"/>
    <mergeCell ref="A67:C67"/>
    <mergeCell ref="A69:D69"/>
    <mergeCell ref="A77:B77"/>
    <mergeCell ref="A79:D79"/>
    <mergeCell ref="A81:D81"/>
    <mergeCell ref="A90:B90"/>
    <mergeCell ref="A92:D92"/>
    <mergeCell ref="A95:C95"/>
    <mergeCell ref="A97:D97"/>
    <mergeCell ref="B98:C98"/>
    <mergeCell ref="A101:C101"/>
    <mergeCell ref="A103:D103"/>
    <mergeCell ref="B104:C104"/>
    <mergeCell ref="B105:C105"/>
    <mergeCell ref="A134:C134"/>
    <mergeCell ref="A125:D125"/>
    <mergeCell ref="B126:C126"/>
    <mergeCell ref="B127:C127"/>
    <mergeCell ref="B128:C128"/>
    <mergeCell ref="B129:C129"/>
    <mergeCell ref="B130:C130"/>
    <mergeCell ref="B131:C131"/>
    <mergeCell ref="A132:C132"/>
    <mergeCell ref="B133:C133"/>
    <mergeCell ref="A123:C123"/>
    <mergeCell ref="B110:C110"/>
    <mergeCell ref="B109:C109"/>
    <mergeCell ref="B111:C111"/>
    <mergeCell ref="A112:C112"/>
    <mergeCell ref="A113:C113"/>
    <mergeCell ref="A114:D114"/>
    <mergeCell ref="B108:C108"/>
    <mergeCell ref="B107:C107"/>
    <mergeCell ref="B106:C106"/>
    <mergeCell ref="A151:D151"/>
    <mergeCell ref="A136:D136"/>
    <mergeCell ref="A137:D137"/>
    <mergeCell ref="B138:C138"/>
    <mergeCell ref="B139:C139"/>
    <mergeCell ref="B140:C140"/>
    <mergeCell ref="B141:C141"/>
    <mergeCell ref="B142:C142"/>
    <mergeCell ref="A144:D144"/>
    <mergeCell ref="A148:D148"/>
    <mergeCell ref="A149:D149"/>
    <mergeCell ref="A150:D150"/>
    <mergeCell ref="A17:C17"/>
    <mergeCell ref="B64:C64"/>
    <mergeCell ref="B65:C65"/>
    <mergeCell ref="B66:C66"/>
    <mergeCell ref="B57:C57"/>
    <mergeCell ref="B52:C52"/>
    <mergeCell ref="B53:C53"/>
    <mergeCell ref="B54:C54"/>
    <mergeCell ref="B55:C55"/>
    <mergeCell ref="B56:C56"/>
    <mergeCell ref="B58:C58"/>
    <mergeCell ref="B59:C59"/>
    <mergeCell ref="A60:C60"/>
    <mergeCell ref="A62:D62"/>
    <mergeCell ref="B63:C63"/>
    <mergeCell ref="A37:B37"/>
    <mergeCell ref="A39:D39"/>
    <mergeCell ref="B22:C22"/>
    <mergeCell ref="B23:C23"/>
    <mergeCell ref="B24:C24"/>
    <mergeCell ref="B25:C25"/>
    <mergeCell ref="B26:C26"/>
    <mergeCell ref="A51:D51"/>
  </mergeCells>
  <printOptions horizontalCentered="1"/>
  <pageMargins left="0.39370078740157483" right="0.39370078740157483" top="1.9685039370078741" bottom="0.78740157480314965" header="0" footer="0"/>
  <pageSetup paperSize="9" scale="80" fitToHeight="0" orientation="portrait" r:id="rId1"/>
  <rowBreaks count="1" manualBreakCount="1">
    <brk id="67" max="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1"/>
  <sheetViews>
    <sheetView topLeftCell="A112" zoomScale="70" zoomScaleNormal="70" zoomScaleSheetLayoutView="110" workbookViewId="0">
      <selection activeCell="D143" sqref="D143"/>
    </sheetView>
  </sheetViews>
  <sheetFormatPr defaultColWidth="9.140625" defaultRowHeight="12.75"/>
  <cols>
    <col min="1" max="1" width="6" style="100" customWidth="1"/>
    <col min="2" max="2" width="62.7109375" style="1" customWidth="1"/>
    <col min="3" max="3" width="18.5703125" style="1" customWidth="1"/>
    <col min="4" max="4" width="30.7109375" style="1" customWidth="1"/>
    <col min="5" max="5" width="17.42578125" style="1" customWidth="1"/>
    <col min="6" max="6" width="102.42578125" style="1" customWidth="1"/>
    <col min="7" max="7" width="10.5703125" style="1" customWidth="1"/>
    <col min="8" max="8" width="43.85546875" style="1" customWidth="1"/>
    <col min="9" max="10" width="9.140625" style="1"/>
    <col min="11" max="11" width="11" style="1" customWidth="1"/>
    <col min="12" max="16384" width="9.140625" style="1"/>
  </cols>
  <sheetData>
    <row r="1" spans="1:4">
      <c r="A1" s="173" t="s">
        <v>93</v>
      </c>
      <c r="B1" s="173"/>
      <c r="C1" s="173"/>
      <c r="D1" s="173"/>
    </row>
    <row r="2" spans="1:4" ht="4.5" customHeight="1">
      <c r="A2" s="173"/>
      <c r="B2" s="173"/>
      <c r="C2" s="173"/>
      <c r="D2" s="173"/>
    </row>
    <row r="3" spans="1:4" ht="20.100000000000001" customHeight="1">
      <c r="A3" s="181" t="s">
        <v>315</v>
      </c>
      <c r="B3" s="179"/>
      <c r="C3" s="179"/>
      <c r="D3" s="180"/>
    </row>
    <row r="4" spans="1:4" ht="20.100000000000001" customHeight="1">
      <c r="A4" s="181" t="s">
        <v>316</v>
      </c>
      <c r="B4" s="179"/>
      <c r="C4" s="179"/>
      <c r="D4" s="180"/>
    </row>
    <row r="5" spans="1:4" ht="20.100000000000001" customHeight="1">
      <c r="A5" s="28"/>
      <c r="B5" s="178"/>
      <c r="C5" s="179"/>
      <c r="D5" s="180"/>
    </row>
    <row r="6" spans="1:4" ht="20.100000000000001" customHeight="1">
      <c r="A6" s="29"/>
      <c r="B6" s="30"/>
      <c r="C6" s="31"/>
      <c r="D6" s="32"/>
    </row>
    <row r="7" spans="1:4" ht="20.100000000000001" customHeight="1">
      <c r="A7" s="174" t="s">
        <v>0</v>
      </c>
      <c r="B7" s="175"/>
      <c r="C7" s="175"/>
      <c r="D7" s="176"/>
    </row>
    <row r="8" spans="1:4" ht="20.100000000000001" customHeight="1">
      <c r="A8" s="96" t="s">
        <v>1</v>
      </c>
      <c r="B8" s="177" t="s">
        <v>2</v>
      </c>
      <c r="C8" s="177"/>
      <c r="D8" s="34">
        <v>45783</v>
      </c>
    </row>
    <row r="9" spans="1:4" ht="30" customHeight="1">
      <c r="A9" s="96" t="s">
        <v>3</v>
      </c>
      <c r="B9" s="177" t="s">
        <v>159</v>
      </c>
      <c r="C9" s="177"/>
      <c r="D9" s="94" t="s">
        <v>317</v>
      </c>
    </row>
    <row r="10" spans="1:4" ht="20.100000000000001" customHeight="1">
      <c r="A10" s="96" t="s">
        <v>4</v>
      </c>
      <c r="B10" s="177" t="s">
        <v>142</v>
      </c>
      <c r="C10" s="177"/>
      <c r="D10" s="36" t="str">
        <f>VLOOKUP(A14,'Entrada de dados'!$A$1:$N$8,2,FALSE)</f>
        <v>PR000074/2025</v>
      </c>
    </row>
    <row r="11" spans="1:4" ht="20.100000000000001" customHeight="1">
      <c r="A11" s="96" t="s">
        <v>5</v>
      </c>
      <c r="B11" s="177" t="s">
        <v>6</v>
      </c>
      <c r="C11" s="177"/>
      <c r="D11" s="37">
        <v>30</v>
      </c>
    </row>
    <row r="12" spans="1:4" ht="20.100000000000001" customHeight="1">
      <c r="A12" s="31"/>
      <c r="B12" s="38"/>
      <c r="C12" s="31"/>
      <c r="D12" s="32"/>
    </row>
    <row r="13" spans="1:4" ht="27" customHeight="1">
      <c r="A13" s="156" t="s">
        <v>91</v>
      </c>
      <c r="B13" s="156"/>
      <c r="C13" s="94" t="s">
        <v>90</v>
      </c>
      <c r="D13" s="94" t="s">
        <v>100</v>
      </c>
    </row>
    <row r="14" spans="1:4" ht="20.100000000000001" customHeight="1">
      <c r="A14" s="182" t="str">
        <f>'Quadro Resumo'!D5</f>
        <v>ENCARREGADO + DE 20 EMPREGADOS</v>
      </c>
      <c r="B14" s="183"/>
      <c r="C14" s="169" t="s">
        <v>92</v>
      </c>
      <c r="D14" s="171">
        <f>VLOOKUP(A14,'Quadro Resumo'!D3:G13,4,FALSE)</f>
        <v>4</v>
      </c>
    </row>
    <row r="15" spans="1:4" ht="20.100000000000001" customHeight="1">
      <c r="A15" s="184"/>
      <c r="B15" s="185"/>
      <c r="C15" s="170"/>
      <c r="D15" s="172"/>
    </row>
    <row r="16" spans="1:4" ht="20.100000000000001" customHeight="1">
      <c r="A16" s="152" t="s">
        <v>174</v>
      </c>
      <c r="B16" s="153"/>
      <c r="C16" s="154"/>
      <c r="D16" s="93">
        <v>44</v>
      </c>
    </row>
    <row r="17" spans="1:6" ht="20.100000000000001" customHeight="1">
      <c r="A17" s="152" t="s">
        <v>160</v>
      </c>
      <c r="B17" s="153"/>
      <c r="C17" s="154"/>
      <c r="D17" s="79">
        <v>45689</v>
      </c>
    </row>
    <row r="18" spans="1:6" ht="20.100000000000001" customHeight="1">
      <c r="A18" s="190"/>
      <c r="B18" s="190"/>
      <c r="C18" s="190"/>
      <c r="D18" s="39"/>
    </row>
    <row r="19" spans="1:6" ht="20.100000000000001" customHeight="1">
      <c r="A19" s="158" t="s">
        <v>7</v>
      </c>
      <c r="B19" s="158"/>
      <c r="C19" s="158"/>
      <c r="D19" s="158"/>
    </row>
    <row r="20" spans="1:6" ht="20.100000000000001" customHeight="1">
      <c r="A20" s="40">
        <v>1</v>
      </c>
      <c r="B20" s="156" t="s">
        <v>8</v>
      </c>
      <c r="C20" s="156"/>
      <c r="D20" s="40" t="s">
        <v>9</v>
      </c>
    </row>
    <row r="21" spans="1:6" ht="20.100000000000001" customHeight="1">
      <c r="A21" s="94" t="s">
        <v>1</v>
      </c>
      <c r="B21" s="160" t="s">
        <v>10</v>
      </c>
      <c r="C21" s="160"/>
      <c r="D21" s="41">
        <f>VLOOKUP(A14,'Entrada de dados'!A2:H8,3,FALSE)/44*'2'!D16</f>
        <v>2232</v>
      </c>
      <c r="F21" s="26" t="s">
        <v>138</v>
      </c>
    </row>
    <row r="22" spans="1:6" ht="20.100000000000001" customHeight="1">
      <c r="A22" s="94" t="s">
        <v>3</v>
      </c>
      <c r="B22" s="160" t="s">
        <v>99</v>
      </c>
      <c r="C22" s="160"/>
      <c r="D22" s="41"/>
      <c r="F22" s="26" t="s">
        <v>161</v>
      </c>
    </row>
    <row r="23" spans="1:6" ht="20.100000000000001" customHeight="1">
      <c r="A23" s="94" t="s">
        <v>4</v>
      </c>
      <c r="B23" s="160" t="s">
        <v>98</v>
      </c>
      <c r="C23" s="160"/>
      <c r="D23" s="41">
        <v>0</v>
      </c>
      <c r="F23" s="71" t="s">
        <v>166</v>
      </c>
    </row>
    <row r="24" spans="1:6" ht="20.100000000000001" customHeight="1">
      <c r="A24" s="94" t="s">
        <v>5</v>
      </c>
      <c r="B24" s="160" t="s">
        <v>11</v>
      </c>
      <c r="C24" s="160"/>
      <c r="D24" s="41"/>
      <c r="F24" s="26" t="s">
        <v>161</v>
      </c>
    </row>
    <row r="25" spans="1:6" ht="20.100000000000001" customHeight="1">
      <c r="A25" s="94" t="s">
        <v>12</v>
      </c>
      <c r="B25" s="160" t="s">
        <v>29</v>
      </c>
      <c r="C25" s="160"/>
      <c r="D25" s="41"/>
      <c r="F25" s="26" t="s">
        <v>161</v>
      </c>
    </row>
    <row r="26" spans="1:6" ht="20.100000000000001" customHeight="1">
      <c r="A26" s="94" t="s">
        <v>13</v>
      </c>
      <c r="B26" s="160" t="s">
        <v>319</v>
      </c>
      <c r="C26" s="160"/>
      <c r="D26" s="41">
        <v>0</v>
      </c>
      <c r="F26" s="26" t="s">
        <v>161</v>
      </c>
    </row>
    <row r="27" spans="1:6" ht="20.100000000000001" customHeight="1">
      <c r="A27" s="156" t="s">
        <v>16</v>
      </c>
      <c r="B27" s="156"/>
      <c r="C27" s="156"/>
      <c r="D27" s="42">
        <f>SUM(D21:D26)</f>
        <v>2232</v>
      </c>
    </row>
    <row r="28" spans="1:6" ht="20.100000000000001" customHeight="1">
      <c r="A28" s="31"/>
      <c r="B28" s="38"/>
      <c r="C28" s="31"/>
      <c r="D28" s="43"/>
    </row>
    <row r="29" spans="1:6" ht="20.100000000000001" customHeight="1">
      <c r="A29" s="191" t="s">
        <v>30</v>
      </c>
      <c r="B29" s="191"/>
      <c r="C29" s="191"/>
      <c r="D29" s="191"/>
    </row>
    <row r="30" spans="1:6" ht="20.100000000000001" customHeight="1">
      <c r="A30" s="97"/>
      <c r="B30" s="99"/>
      <c r="C30" s="99"/>
      <c r="D30" s="43"/>
    </row>
    <row r="31" spans="1:6" ht="20.100000000000001" customHeight="1">
      <c r="A31" s="158" t="s">
        <v>31</v>
      </c>
      <c r="B31" s="158"/>
      <c r="C31" s="158"/>
      <c r="D31" s="158"/>
    </row>
    <row r="32" spans="1:6" ht="20.100000000000001" customHeight="1">
      <c r="A32" s="96" t="s">
        <v>32</v>
      </c>
      <c r="B32" s="96" t="s">
        <v>102</v>
      </c>
      <c r="C32" s="95" t="s">
        <v>38</v>
      </c>
      <c r="D32" s="96" t="s">
        <v>9</v>
      </c>
    </row>
    <row r="33" spans="1:13" ht="20.100000000000001" customHeight="1">
      <c r="A33" s="96" t="s">
        <v>1</v>
      </c>
      <c r="B33" s="47" t="s">
        <v>27</v>
      </c>
      <c r="C33" s="48">
        <v>8.3299999999999999E-2</v>
      </c>
      <c r="D33" s="49">
        <f>ROUND($D$27*C33,2)</f>
        <v>185.93</v>
      </c>
      <c r="F33" s="1" t="s">
        <v>113</v>
      </c>
    </row>
    <row r="34" spans="1:13" ht="20.100000000000001" customHeight="1">
      <c r="A34" s="96" t="s">
        <v>3</v>
      </c>
      <c r="B34" s="47" t="s">
        <v>184</v>
      </c>
      <c r="C34" s="48">
        <v>2.7799999999999998E-2</v>
      </c>
      <c r="D34" s="49">
        <f>ROUND($D$27*C34,2)</f>
        <v>62.05</v>
      </c>
      <c r="F34" s="25" t="s">
        <v>164</v>
      </c>
    </row>
    <row r="35" spans="1:13" ht="20.100000000000001" customHeight="1">
      <c r="A35" s="96" t="s">
        <v>4</v>
      </c>
      <c r="B35" s="50" t="s">
        <v>94</v>
      </c>
      <c r="C35" s="51">
        <f>SUM(C33:C34)</f>
        <v>0.1111</v>
      </c>
      <c r="D35" s="42">
        <f>SUM(D33:D34)</f>
        <v>247.98</v>
      </c>
    </row>
    <row r="36" spans="1:13" ht="20.100000000000001" customHeight="1">
      <c r="A36" s="96" t="s">
        <v>5</v>
      </c>
      <c r="B36" s="47" t="s">
        <v>95</v>
      </c>
      <c r="C36" s="48">
        <f>C35*C49</f>
        <v>0.04</v>
      </c>
      <c r="D36" s="49">
        <f>ROUND($D$27*C36,2)</f>
        <v>89.28</v>
      </c>
    </row>
    <row r="37" spans="1:13" ht="20.100000000000001" customHeight="1">
      <c r="A37" s="158" t="s">
        <v>34</v>
      </c>
      <c r="B37" s="158"/>
      <c r="C37" s="51">
        <f>SUM(C35:C36)</f>
        <v>0.15110000000000001</v>
      </c>
      <c r="D37" s="42">
        <f>SUM(D35:D36)</f>
        <v>337.26</v>
      </c>
      <c r="M37" s="5"/>
    </row>
    <row r="38" spans="1:13" ht="20.100000000000001" customHeight="1">
      <c r="A38" s="97"/>
      <c r="B38" s="97"/>
      <c r="C38" s="97"/>
      <c r="D38" s="43"/>
    </row>
    <row r="39" spans="1:13" ht="33" customHeight="1">
      <c r="A39" s="159" t="s">
        <v>35</v>
      </c>
      <c r="B39" s="159"/>
      <c r="C39" s="159"/>
      <c r="D39" s="159"/>
    </row>
    <row r="40" spans="1:13" ht="33.75" customHeight="1">
      <c r="A40" s="95" t="s">
        <v>36</v>
      </c>
      <c r="B40" s="50" t="s">
        <v>37</v>
      </c>
      <c r="C40" s="95" t="s">
        <v>38</v>
      </c>
      <c r="D40" s="95" t="s">
        <v>9</v>
      </c>
      <c r="E40" s="2"/>
    </row>
    <row r="41" spans="1:13" ht="20.100000000000001" customHeight="1">
      <c r="A41" s="52" t="s">
        <v>1</v>
      </c>
      <c r="B41" s="47" t="s">
        <v>39</v>
      </c>
      <c r="C41" s="48">
        <v>0.2</v>
      </c>
      <c r="D41" s="49">
        <f t="shared" ref="D41:D48" si="0">ROUND($D$27*C41,2)</f>
        <v>446.4</v>
      </c>
      <c r="F41" s="72" t="s">
        <v>114</v>
      </c>
    </row>
    <row r="42" spans="1:13" ht="20.100000000000001" customHeight="1">
      <c r="A42" s="52" t="s">
        <v>3</v>
      </c>
      <c r="B42" s="47" t="s">
        <v>40</v>
      </c>
      <c r="C42" s="48">
        <v>2.5000000000000001E-2</v>
      </c>
      <c r="D42" s="49">
        <f t="shared" si="0"/>
        <v>55.8</v>
      </c>
      <c r="F42" s="72" t="s">
        <v>115</v>
      </c>
    </row>
    <row r="43" spans="1:13" ht="20.100000000000001" customHeight="1">
      <c r="A43" s="52" t="s">
        <v>4</v>
      </c>
      <c r="B43" s="47" t="s">
        <v>41</v>
      </c>
      <c r="C43" s="48">
        <f>2%*1.0942</f>
        <v>2.1899999999999999E-2</v>
      </c>
      <c r="D43" s="49">
        <f t="shared" si="0"/>
        <v>48.88</v>
      </c>
      <c r="F43" s="72" t="s">
        <v>116</v>
      </c>
    </row>
    <row r="44" spans="1:13" ht="20.100000000000001" customHeight="1">
      <c r="A44" s="52" t="s">
        <v>5</v>
      </c>
      <c r="B44" s="47" t="s">
        <v>42</v>
      </c>
      <c r="C44" s="48">
        <v>1.4999999999999999E-2</v>
      </c>
      <c r="D44" s="49">
        <f t="shared" si="0"/>
        <v>33.479999999999997</v>
      </c>
      <c r="F44" s="72" t="s">
        <v>117</v>
      </c>
    </row>
    <row r="45" spans="1:13" ht="20.100000000000001" customHeight="1">
      <c r="A45" s="52" t="s">
        <v>12</v>
      </c>
      <c r="B45" s="47" t="s">
        <v>43</v>
      </c>
      <c r="C45" s="48">
        <v>0.01</v>
      </c>
      <c r="D45" s="49">
        <f t="shared" si="0"/>
        <v>22.32</v>
      </c>
      <c r="F45" s="72" t="s">
        <v>118</v>
      </c>
    </row>
    <row r="46" spans="1:13" ht="20.100000000000001" customHeight="1">
      <c r="A46" s="52" t="s">
        <v>13</v>
      </c>
      <c r="B46" s="47" t="s">
        <v>44</v>
      </c>
      <c r="C46" s="48">
        <v>6.0000000000000001E-3</v>
      </c>
      <c r="D46" s="49">
        <f t="shared" si="0"/>
        <v>13.39</v>
      </c>
      <c r="F46" s="72" t="s">
        <v>119</v>
      </c>
    </row>
    <row r="47" spans="1:13" ht="20.100000000000001" customHeight="1">
      <c r="A47" s="52" t="s">
        <v>14</v>
      </c>
      <c r="B47" s="47" t="s">
        <v>45</v>
      </c>
      <c r="C47" s="48">
        <v>2E-3</v>
      </c>
      <c r="D47" s="49">
        <f t="shared" si="0"/>
        <v>4.46</v>
      </c>
      <c r="F47" s="72" t="s">
        <v>120</v>
      </c>
    </row>
    <row r="48" spans="1:13" ht="20.100000000000001" customHeight="1">
      <c r="A48" s="52" t="s">
        <v>15</v>
      </c>
      <c r="B48" s="47" t="s">
        <v>46</v>
      </c>
      <c r="C48" s="48">
        <v>0.08</v>
      </c>
      <c r="D48" s="49">
        <f t="shared" si="0"/>
        <v>178.56</v>
      </c>
      <c r="F48" s="72" t="s">
        <v>121</v>
      </c>
    </row>
    <row r="49" spans="1:13" ht="20.100000000000001" customHeight="1">
      <c r="A49" s="159" t="s">
        <v>22</v>
      </c>
      <c r="B49" s="159"/>
      <c r="C49" s="51">
        <f>ROUND(SUM(C41:C48),4)</f>
        <v>0.3599</v>
      </c>
      <c r="D49" s="42">
        <f>ROUND(SUM(D41:D48),2)</f>
        <v>803.29</v>
      </c>
      <c r="F49" s="25" t="s">
        <v>122</v>
      </c>
      <c r="M49" s="5"/>
    </row>
    <row r="50" spans="1:13" ht="20.100000000000001" customHeight="1">
      <c r="A50" s="97"/>
      <c r="B50" s="97"/>
      <c r="C50" s="97"/>
      <c r="D50" s="43"/>
    </row>
    <row r="51" spans="1:13" ht="20.100000000000001" customHeight="1">
      <c r="A51" s="161" t="s">
        <v>47</v>
      </c>
      <c r="B51" s="161"/>
      <c r="C51" s="161"/>
      <c r="D51" s="161"/>
    </row>
    <row r="52" spans="1:13" ht="20.100000000000001" customHeight="1">
      <c r="A52" s="94" t="s">
        <v>48</v>
      </c>
      <c r="B52" s="156" t="s">
        <v>17</v>
      </c>
      <c r="C52" s="156"/>
      <c r="D52" s="94" t="s">
        <v>9</v>
      </c>
      <c r="F52" s="14" t="s">
        <v>104</v>
      </c>
      <c r="G52" s="8"/>
      <c r="K52" s="5"/>
    </row>
    <row r="53" spans="1:13" ht="20.100000000000001" customHeight="1">
      <c r="A53" s="94" t="s">
        <v>1</v>
      </c>
      <c r="B53" s="155" t="s">
        <v>101</v>
      </c>
      <c r="C53" s="155"/>
      <c r="D53" s="41">
        <f>IF(((F55*2*F53)-(D21*0.06))&lt;0,0,((F55*2*F53)-(D21*0.06)))</f>
        <v>0</v>
      </c>
      <c r="F53" s="16">
        <v>22</v>
      </c>
      <c r="G53" s="8"/>
      <c r="H53" s="26" t="s">
        <v>163</v>
      </c>
      <c r="K53" s="5"/>
    </row>
    <row r="54" spans="1:13" ht="20.100000000000001" customHeight="1">
      <c r="A54" s="94" t="s">
        <v>3</v>
      </c>
      <c r="B54" s="157" t="s">
        <v>112</v>
      </c>
      <c r="C54" s="157"/>
      <c r="D54" s="41">
        <f>F57*1*(1-F59)</f>
        <v>644</v>
      </c>
      <c r="F54" s="14" t="s">
        <v>145</v>
      </c>
      <c r="G54" s="8"/>
      <c r="H54" s="26" t="s">
        <v>163</v>
      </c>
      <c r="K54" s="5"/>
    </row>
    <row r="55" spans="1:13" ht="20.100000000000001" customHeight="1">
      <c r="A55" s="94" t="s">
        <v>4</v>
      </c>
      <c r="B55" s="155" t="s">
        <v>175</v>
      </c>
      <c r="C55" s="155"/>
      <c r="D55" s="41">
        <f>VLOOKUP(A14,'Entrada de dados'!A2:H8,5,FALSE)</f>
        <v>28</v>
      </c>
      <c r="F55" s="15">
        <v>0</v>
      </c>
      <c r="G55" s="8"/>
      <c r="H55" s="26" t="s">
        <v>320</v>
      </c>
      <c r="K55" s="5"/>
    </row>
    <row r="56" spans="1:13" ht="20.100000000000001" customHeight="1">
      <c r="A56" s="94" t="s">
        <v>5</v>
      </c>
      <c r="B56" s="155" t="s">
        <v>176</v>
      </c>
      <c r="C56" s="155"/>
      <c r="D56" s="41">
        <f>VLOOKUP(A14,'Entrada de dados'!A2:H8,6,FALSE)</f>
        <v>28</v>
      </c>
      <c r="F56" s="14" t="s">
        <v>105</v>
      </c>
      <c r="G56" s="8"/>
      <c r="H56" s="26" t="s">
        <v>163</v>
      </c>
      <c r="K56" s="5"/>
    </row>
    <row r="57" spans="1:13" ht="20.100000000000001" customHeight="1">
      <c r="A57" s="98" t="s">
        <v>49</v>
      </c>
      <c r="B57" s="155" t="s">
        <v>177</v>
      </c>
      <c r="C57" s="155"/>
      <c r="D57" s="41">
        <f>VLOOKUP(A14,'Entrada de dados'!A2:H8,7,FALSE)</f>
        <v>87.5</v>
      </c>
      <c r="F57" s="15">
        <f>VLOOKUP(A14,'Entrada de dados'!A2:H8,4,FALSE)</f>
        <v>805</v>
      </c>
      <c r="G57" s="8"/>
      <c r="H57" s="26" t="s">
        <v>163</v>
      </c>
      <c r="K57" s="5"/>
    </row>
    <row r="58" spans="1:13" ht="20.100000000000001" customHeight="1">
      <c r="A58" s="98" t="s">
        <v>13</v>
      </c>
      <c r="B58" s="157" t="s">
        <v>178</v>
      </c>
      <c r="C58" s="157"/>
      <c r="D58" s="41">
        <f>VLOOKUP(A14,'Entrada de dados'!A2:H8,8,FALSE)*0.8</f>
        <v>53.66</v>
      </c>
      <c r="F58" s="14" t="s">
        <v>106</v>
      </c>
      <c r="G58" s="8"/>
      <c r="H58" s="26" t="s">
        <v>163</v>
      </c>
      <c r="K58" s="5"/>
    </row>
    <row r="59" spans="1:13" ht="20.100000000000001" customHeight="1">
      <c r="A59" s="98" t="s">
        <v>14</v>
      </c>
      <c r="B59" s="157" t="s">
        <v>179</v>
      </c>
      <c r="C59" s="157"/>
      <c r="D59" s="41">
        <v>0</v>
      </c>
      <c r="F59" s="10">
        <v>0.2</v>
      </c>
      <c r="G59" s="8"/>
      <c r="H59" s="26" t="s">
        <v>163</v>
      </c>
      <c r="K59" s="5"/>
    </row>
    <row r="60" spans="1:13" ht="20.100000000000001" customHeight="1">
      <c r="A60" s="158" t="s">
        <v>18</v>
      </c>
      <c r="B60" s="158"/>
      <c r="C60" s="158"/>
      <c r="D60" s="54">
        <f>ROUND(SUM(D53:D59),2)</f>
        <v>841.16</v>
      </c>
      <c r="F60" s="9"/>
      <c r="G60" s="8"/>
      <c r="K60" s="5"/>
    </row>
    <row r="61" spans="1:13" ht="20.100000000000001" customHeight="1">
      <c r="A61" s="31"/>
      <c r="B61" s="38"/>
      <c r="C61" s="31"/>
      <c r="D61" s="43"/>
      <c r="F61" s="9"/>
      <c r="G61" s="8"/>
      <c r="K61" s="5"/>
    </row>
    <row r="62" spans="1:13" ht="20.100000000000001" customHeight="1">
      <c r="A62" s="158" t="s">
        <v>50</v>
      </c>
      <c r="B62" s="158"/>
      <c r="C62" s="158"/>
      <c r="D62" s="158"/>
      <c r="F62" s="9"/>
      <c r="G62" s="8"/>
      <c r="K62" s="5"/>
    </row>
    <row r="63" spans="1:13" ht="20.100000000000001" customHeight="1">
      <c r="A63" s="95">
        <v>2</v>
      </c>
      <c r="B63" s="159" t="s">
        <v>51</v>
      </c>
      <c r="C63" s="159"/>
      <c r="D63" s="95" t="s">
        <v>9</v>
      </c>
      <c r="F63" s="9"/>
      <c r="G63" s="8"/>
      <c r="K63" s="5"/>
    </row>
    <row r="64" spans="1:13" ht="20.100000000000001" customHeight="1">
      <c r="A64" s="95" t="s">
        <v>32</v>
      </c>
      <c r="B64" s="155" t="s">
        <v>33</v>
      </c>
      <c r="C64" s="155"/>
      <c r="D64" s="49">
        <f>ROUND(D37,2)</f>
        <v>337.26</v>
      </c>
      <c r="F64" s="9"/>
      <c r="G64" s="8"/>
      <c r="K64" s="5"/>
    </row>
    <row r="65" spans="1:13" ht="20.100000000000001" customHeight="1">
      <c r="A65" s="95" t="s">
        <v>36</v>
      </c>
      <c r="B65" s="155" t="s">
        <v>37</v>
      </c>
      <c r="C65" s="155"/>
      <c r="D65" s="49">
        <f>ROUND(D49,2)</f>
        <v>803.29</v>
      </c>
      <c r="F65" s="9"/>
      <c r="G65" s="8"/>
      <c r="K65" s="5"/>
    </row>
    <row r="66" spans="1:13" ht="20.100000000000001" customHeight="1">
      <c r="A66" s="95" t="s">
        <v>48</v>
      </c>
      <c r="B66" s="155" t="s">
        <v>17</v>
      </c>
      <c r="C66" s="155"/>
      <c r="D66" s="49">
        <f>ROUND(D60,2)</f>
        <v>841.16</v>
      </c>
      <c r="F66" s="9"/>
      <c r="G66" s="8"/>
      <c r="K66" s="5"/>
    </row>
    <row r="67" spans="1:13" ht="20.100000000000001" customHeight="1">
      <c r="A67" s="159" t="s">
        <v>22</v>
      </c>
      <c r="B67" s="159"/>
      <c r="C67" s="159"/>
      <c r="D67" s="42">
        <f>ROUND(SUM(D64:D66),2)</f>
        <v>1981.71</v>
      </c>
      <c r="F67" s="9"/>
      <c r="G67" s="8"/>
      <c r="K67" s="5"/>
    </row>
    <row r="68" spans="1:13" ht="20.100000000000001" customHeight="1">
      <c r="A68" s="31"/>
      <c r="B68" s="38"/>
      <c r="C68" s="31"/>
      <c r="D68" s="43"/>
      <c r="F68" s="9"/>
      <c r="G68" s="8"/>
      <c r="K68" s="5"/>
    </row>
    <row r="69" spans="1:13" ht="20.100000000000001" customHeight="1">
      <c r="A69" s="161" t="s">
        <v>52</v>
      </c>
      <c r="B69" s="161"/>
      <c r="C69" s="161"/>
      <c r="D69" s="161"/>
      <c r="F69" s="9"/>
      <c r="G69" s="8"/>
      <c r="K69" s="5"/>
    </row>
    <row r="70" spans="1:13" ht="20.100000000000001" customHeight="1">
      <c r="A70" s="95">
        <v>3</v>
      </c>
      <c r="B70" s="50" t="s">
        <v>23</v>
      </c>
      <c r="C70" s="95" t="s">
        <v>38</v>
      </c>
      <c r="D70" s="95" t="s">
        <v>9</v>
      </c>
      <c r="F70" s="9"/>
      <c r="G70" s="8"/>
      <c r="K70" s="5"/>
    </row>
    <row r="71" spans="1:13" ht="20.100000000000001" customHeight="1">
      <c r="A71" s="95" t="s">
        <v>1</v>
      </c>
      <c r="B71" s="47" t="s">
        <v>53</v>
      </c>
      <c r="C71" s="55">
        <f>1/12*0.05</f>
        <v>4.1999999999999997E-3</v>
      </c>
      <c r="D71" s="49">
        <f>ROUND(($D$27+$D$94)*C71,2)</f>
        <v>9.3699999999999992</v>
      </c>
      <c r="F71" s="188" t="s">
        <v>123</v>
      </c>
      <c r="G71" s="188"/>
      <c r="H71" s="188"/>
      <c r="I71" s="188"/>
      <c r="J71" s="188"/>
      <c r="K71" s="188"/>
    </row>
    <row r="72" spans="1:13" ht="20.100000000000001" customHeight="1">
      <c r="A72" s="95" t="s">
        <v>3</v>
      </c>
      <c r="B72" s="47" t="s">
        <v>54</v>
      </c>
      <c r="C72" s="56">
        <f>C71*C48</f>
        <v>3.3599999999999998E-4</v>
      </c>
      <c r="D72" s="49">
        <f>ROUND(($D$27+$D$94)*C72,2)</f>
        <v>0.75</v>
      </c>
      <c r="F72" s="188" t="s">
        <v>124</v>
      </c>
      <c r="G72" s="188"/>
      <c r="H72" s="188"/>
      <c r="K72" s="73"/>
    </row>
    <row r="73" spans="1:13" ht="19.5" customHeight="1">
      <c r="A73" s="95" t="s">
        <v>4</v>
      </c>
      <c r="B73" s="47" t="s">
        <v>108</v>
      </c>
      <c r="C73" s="55">
        <v>6.4999999999999997E-3</v>
      </c>
      <c r="D73" s="49">
        <f>ROUND($D$27*C73,2)</f>
        <v>14.51</v>
      </c>
      <c r="F73" s="188" t="s">
        <v>125</v>
      </c>
      <c r="G73" s="188"/>
      <c r="H73" s="188"/>
      <c r="I73" s="188"/>
      <c r="J73" s="188"/>
      <c r="K73" s="188"/>
    </row>
    <row r="74" spans="1:13" ht="20.100000000000001" customHeight="1">
      <c r="A74" s="95" t="s">
        <v>5</v>
      </c>
      <c r="B74" s="47" t="s">
        <v>97</v>
      </c>
      <c r="C74" s="55">
        <f>7/30/12</f>
        <v>1.9400000000000001E-2</v>
      </c>
      <c r="D74" s="49">
        <f>ROUND(($D$27+$D$94)*C74,2)</f>
        <v>43.3</v>
      </c>
      <c r="F74" s="188" t="s">
        <v>126</v>
      </c>
      <c r="G74" s="188"/>
      <c r="H74" s="188"/>
      <c r="I74" s="188"/>
      <c r="J74" s="188"/>
      <c r="K74" s="188"/>
    </row>
    <row r="75" spans="1:13" ht="32.25" customHeight="1">
      <c r="A75" s="95" t="s">
        <v>12</v>
      </c>
      <c r="B75" s="47" t="s">
        <v>55</v>
      </c>
      <c r="C75" s="55">
        <f>C74*C49</f>
        <v>7.0000000000000001E-3</v>
      </c>
      <c r="D75" s="49">
        <f>ROUND(($D$27+$D$94)*C75,2)</f>
        <v>15.62</v>
      </c>
      <c r="F75" s="188" t="s">
        <v>127</v>
      </c>
      <c r="G75" s="188"/>
      <c r="H75" s="188"/>
      <c r="K75" s="73"/>
    </row>
    <row r="76" spans="1:13" ht="21.75" customHeight="1">
      <c r="A76" s="95" t="s">
        <v>4</v>
      </c>
      <c r="B76" s="47" t="s">
        <v>109</v>
      </c>
      <c r="C76" s="55">
        <v>3.3500000000000002E-2</v>
      </c>
      <c r="D76" s="49">
        <f>ROUND($D$27*C76,2)</f>
        <v>74.77</v>
      </c>
      <c r="F76" s="188" t="s">
        <v>125</v>
      </c>
      <c r="G76" s="188"/>
      <c r="H76" s="188"/>
      <c r="K76" s="73"/>
    </row>
    <row r="77" spans="1:13" ht="20.100000000000001" customHeight="1">
      <c r="A77" s="159" t="s">
        <v>22</v>
      </c>
      <c r="B77" s="159"/>
      <c r="C77" s="57">
        <f>ROUND(SUM(C71:C76),4)</f>
        <v>7.0900000000000005E-2</v>
      </c>
      <c r="D77" s="54">
        <f>ROUND(SUM(D71:D76),2)</f>
        <v>158.32</v>
      </c>
      <c r="F77" s="9"/>
      <c r="G77" s="8"/>
      <c r="K77" s="5"/>
      <c r="M77" s="5"/>
    </row>
    <row r="78" spans="1:13" ht="20.100000000000001" customHeight="1">
      <c r="A78" s="99"/>
      <c r="B78" s="99"/>
      <c r="C78" s="99"/>
      <c r="D78" s="43"/>
      <c r="F78" s="9"/>
      <c r="G78" s="8"/>
      <c r="K78" s="5"/>
    </row>
    <row r="79" spans="1:13" ht="20.100000000000001" customHeight="1">
      <c r="A79" s="168" t="s">
        <v>56</v>
      </c>
      <c r="B79" s="168"/>
      <c r="C79" s="168"/>
      <c r="D79" s="168"/>
      <c r="F79" s="9"/>
      <c r="G79" s="8"/>
      <c r="K79" s="5"/>
      <c r="L79" s="3"/>
    </row>
    <row r="80" spans="1:13" ht="20.100000000000001" customHeight="1">
      <c r="A80" s="99"/>
      <c r="B80" s="99"/>
      <c r="C80" s="99"/>
      <c r="D80" s="99"/>
      <c r="K80" s="6"/>
    </row>
    <row r="81" spans="1:13" ht="20.100000000000001" customHeight="1">
      <c r="A81" s="161" t="s">
        <v>57</v>
      </c>
      <c r="B81" s="161"/>
      <c r="C81" s="161"/>
      <c r="D81" s="161"/>
      <c r="K81" s="6"/>
    </row>
    <row r="82" spans="1:13" ht="20.100000000000001" customHeight="1">
      <c r="A82" s="95" t="s">
        <v>20</v>
      </c>
      <c r="B82" s="50" t="s">
        <v>58</v>
      </c>
      <c r="C82" s="95" t="s">
        <v>38</v>
      </c>
      <c r="D82" s="95" t="s">
        <v>9</v>
      </c>
      <c r="F82" s="2"/>
      <c r="G82" s="2"/>
      <c r="K82" s="6"/>
    </row>
    <row r="83" spans="1:13" ht="20.100000000000001" customHeight="1">
      <c r="A83" s="95" t="s">
        <v>1</v>
      </c>
      <c r="B83" s="47" t="s">
        <v>59</v>
      </c>
      <c r="C83" s="55">
        <f>1/12</f>
        <v>8.3299999999999999E-2</v>
      </c>
      <c r="D83" s="49">
        <f t="shared" ref="D83:D89" si="1">ROUND(($D$27+$D$67+$D$77)*C83,2)</f>
        <v>364.19</v>
      </c>
      <c r="F83" s="186" t="s">
        <v>128</v>
      </c>
      <c r="G83" s="186"/>
      <c r="H83" s="186"/>
      <c r="I83" s="77"/>
      <c r="J83" s="77"/>
      <c r="K83" s="78"/>
    </row>
    <row r="84" spans="1:13" ht="20.100000000000001" customHeight="1">
      <c r="A84" s="95" t="s">
        <v>3</v>
      </c>
      <c r="B84" s="47" t="s">
        <v>58</v>
      </c>
      <c r="C84" s="55">
        <f>0.05/365</f>
        <v>1E-4</v>
      </c>
      <c r="D84" s="49">
        <f t="shared" si="1"/>
        <v>0.44</v>
      </c>
      <c r="E84" s="4"/>
      <c r="F84" s="186" t="s">
        <v>129</v>
      </c>
      <c r="G84" s="186"/>
      <c r="H84" s="186"/>
      <c r="I84" s="77"/>
      <c r="J84" s="77"/>
      <c r="K84" s="77"/>
    </row>
    <row r="85" spans="1:13" ht="27" customHeight="1">
      <c r="A85" s="95" t="s">
        <v>4</v>
      </c>
      <c r="B85" s="47" t="s">
        <v>110</v>
      </c>
      <c r="C85" s="55">
        <f>5/30/12*0.005</f>
        <v>1E-4</v>
      </c>
      <c r="D85" s="49">
        <f t="shared" si="1"/>
        <v>0.44</v>
      </c>
      <c r="F85" s="186" t="s">
        <v>139</v>
      </c>
      <c r="G85" s="186"/>
      <c r="H85" s="186"/>
      <c r="I85" s="186"/>
      <c r="J85" s="186"/>
      <c r="K85" s="186"/>
    </row>
    <row r="86" spans="1:13" ht="20.100000000000001" customHeight="1">
      <c r="A86" s="95" t="s">
        <v>5</v>
      </c>
      <c r="B86" s="47" t="s">
        <v>28</v>
      </c>
      <c r="C86" s="55">
        <f>15/30/12*0.003</f>
        <v>1E-4</v>
      </c>
      <c r="D86" s="49">
        <f t="shared" si="1"/>
        <v>0.44</v>
      </c>
      <c r="F86" s="186" t="s">
        <v>130</v>
      </c>
      <c r="G86" s="186"/>
      <c r="H86" s="186"/>
      <c r="I86" s="186"/>
      <c r="J86" s="186"/>
      <c r="K86" s="186"/>
    </row>
    <row r="87" spans="1:13" ht="22.5" customHeight="1">
      <c r="A87" s="95" t="s">
        <v>12</v>
      </c>
      <c r="B87" s="47" t="s">
        <v>111</v>
      </c>
      <c r="C87" s="55">
        <f>0.005*(4/12)/12</f>
        <v>1E-4</v>
      </c>
      <c r="D87" s="49">
        <f t="shared" si="1"/>
        <v>0.44</v>
      </c>
      <c r="F87" s="186" t="s">
        <v>140</v>
      </c>
      <c r="G87" s="186"/>
      <c r="H87" s="186"/>
      <c r="I87" s="186"/>
      <c r="J87" s="186"/>
      <c r="K87" s="186"/>
    </row>
    <row r="88" spans="1:13" ht="20.100000000000001" customHeight="1">
      <c r="A88" s="95" t="s">
        <v>13</v>
      </c>
      <c r="B88" s="47" t="s">
        <v>85</v>
      </c>
      <c r="C88" s="55">
        <f>0.05/365</f>
        <v>1E-4</v>
      </c>
      <c r="D88" s="49">
        <f t="shared" si="1"/>
        <v>0.44</v>
      </c>
      <c r="E88" s="5"/>
      <c r="F88" s="186" t="s">
        <v>131</v>
      </c>
      <c r="G88" s="186"/>
      <c r="H88" s="186"/>
      <c r="I88" s="77"/>
      <c r="J88" s="77"/>
      <c r="K88" s="77"/>
    </row>
    <row r="89" spans="1:13" ht="20.100000000000001" customHeight="1">
      <c r="A89" s="95" t="s">
        <v>14</v>
      </c>
      <c r="B89" s="47" t="s">
        <v>84</v>
      </c>
      <c r="C89" s="55"/>
      <c r="D89" s="49">
        <f t="shared" si="1"/>
        <v>0</v>
      </c>
      <c r="E89" s="5"/>
      <c r="F89" s="189" t="s">
        <v>162</v>
      </c>
      <c r="G89" s="189"/>
      <c r="H89" s="189"/>
      <c r="I89" s="189"/>
      <c r="J89" s="189"/>
      <c r="K89" s="189"/>
    </row>
    <row r="90" spans="1:13" ht="20.100000000000001" customHeight="1">
      <c r="A90" s="159" t="s">
        <v>22</v>
      </c>
      <c r="B90" s="159"/>
      <c r="C90" s="51">
        <f>ROUND(SUM(C83:C89),4)</f>
        <v>8.3799999999999999E-2</v>
      </c>
      <c r="D90" s="42">
        <f>ROUND(SUM(D83:D89),2)</f>
        <v>366.39</v>
      </c>
      <c r="F90" s="74"/>
      <c r="M90" s="5"/>
    </row>
    <row r="91" spans="1:13" ht="20.100000000000001" customHeight="1">
      <c r="A91" s="99"/>
      <c r="B91" s="99"/>
      <c r="C91" s="32"/>
      <c r="D91" s="43"/>
      <c r="F91" s="13"/>
      <c r="M91" s="13"/>
    </row>
    <row r="92" spans="1:13" ht="20.100000000000001" customHeight="1">
      <c r="A92" s="161" t="s">
        <v>60</v>
      </c>
      <c r="B92" s="161"/>
      <c r="C92" s="161"/>
      <c r="D92" s="161"/>
    </row>
    <row r="93" spans="1:13" ht="20.100000000000001" customHeight="1">
      <c r="A93" s="95" t="s">
        <v>21</v>
      </c>
      <c r="B93" s="50" t="s">
        <v>61</v>
      </c>
      <c r="C93" s="95" t="s">
        <v>38</v>
      </c>
      <c r="D93" s="95" t="s">
        <v>9</v>
      </c>
      <c r="E93" s="3"/>
    </row>
    <row r="94" spans="1:13" ht="20.100000000000001" customHeight="1">
      <c r="A94" s="95" t="s">
        <v>1</v>
      </c>
      <c r="B94" s="47" t="s">
        <v>62</v>
      </c>
      <c r="C94" s="55">
        <f>D94/D27</f>
        <v>0</v>
      </c>
      <c r="D94" s="41">
        <v>0</v>
      </c>
      <c r="E94" s="7"/>
    </row>
    <row r="95" spans="1:13" ht="20.100000000000001" customHeight="1">
      <c r="A95" s="164" t="s">
        <v>22</v>
      </c>
      <c r="B95" s="165"/>
      <c r="C95" s="166"/>
      <c r="D95" s="41">
        <f>ROUND(D94,2)</f>
        <v>0</v>
      </c>
    </row>
    <row r="96" spans="1:13" ht="20.100000000000001" customHeight="1">
      <c r="A96" s="31"/>
      <c r="B96" s="38"/>
      <c r="C96" s="31"/>
      <c r="D96" s="43"/>
    </row>
    <row r="97" spans="1:5" ht="20.100000000000001" customHeight="1">
      <c r="A97" s="161" t="s">
        <v>63</v>
      </c>
      <c r="B97" s="161"/>
      <c r="C97" s="161"/>
      <c r="D97" s="161"/>
    </row>
    <row r="98" spans="1:5" ht="20.100000000000001" customHeight="1">
      <c r="A98" s="95">
        <v>4</v>
      </c>
      <c r="B98" s="159" t="s">
        <v>64</v>
      </c>
      <c r="C98" s="159"/>
      <c r="D98" s="95" t="s">
        <v>9</v>
      </c>
    </row>
    <row r="99" spans="1:5" ht="20.100000000000001" customHeight="1">
      <c r="A99" s="52" t="s">
        <v>20</v>
      </c>
      <c r="B99" s="155" t="s">
        <v>58</v>
      </c>
      <c r="C99" s="155"/>
      <c r="D99" s="49">
        <f>ROUND(D90,2)</f>
        <v>366.39</v>
      </c>
    </row>
    <row r="100" spans="1:5" ht="20.100000000000001" customHeight="1">
      <c r="A100" s="52" t="s">
        <v>21</v>
      </c>
      <c r="B100" s="155" t="s">
        <v>61</v>
      </c>
      <c r="C100" s="155"/>
      <c r="D100" s="49">
        <f>ROUND(D95,2)</f>
        <v>0</v>
      </c>
    </row>
    <row r="101" spans="1:5" ht="20.100000000000001" customHeight="1">
      <c r="A101" s="159" t="s">
        <v>22</v>
      </c>
      <c r="B101" s="159"/>
      <c r="C101" s="159"/>
      <c r="D101" s="42">
        <f>ROUND(SUM(D99:D100),2)</f>
        <v>366.39</v>
      </c>
    </row>
    <row r="102" spans="1:5" ht="20.100000000000001" customHeight="1">
      <c r="A102" s="31"/>
      <c r="B102" s="38"/>
      <c r="C102" s="31"/>
      <c r="D102" s="43"/>
      <c r="E102" s="5"/>
    </row>
    <row r="103" spans="1:5" ht="20.100000000000001" customHeight="1">
      <c r="A103" s="158" t="s">
        <v>65</v>
      </c>
      <c r="B103" s="158"/>
      <c r="C103" s="158"/>
      <c r="D103" s="158"/>
    </row>
    <row r="104" spans="1:5" ht="20.100000000000001" customHeight="1">
      <c r="A104" s="96">
        <v>5</v>
      </c>
      <c r="B104" s="158" t="s">
        <v>103</v>
      </c>
      <c r="C104" s="158"/>
      <c r="D104" s="96" t="s">
        <v>9</v>
      </c>
    </row>
    <row r="105" spans="1:5" ht="20.100000000000001" customHeight="1">
      <c r="A105" s="96" t="s">
        <v>1</v>
      </c>
      <c r="B105" s="163" t="s">
        <v>89</v>
      </c>
      <c r="C105" s="163"/>
      <c r="D105" s="41">
        <f>VLOOKUP(A14,'Entrada de dados'!A2:N10,9,FALSE)</f>
        <v>19.920000000000002</v>
      </c>
    </row>
    <row r="106" spans="1:5" ht="20.100000000000001" customHeight="1">
      <c r="A106" s="96" t="s">
        <v>3</v>
      </c>
      <c r="B106" s="163" t="s">
        <v>321</v>
      </c>
      <c r="C106" s="163"/>
      <c r="D106" s="41">
        <f>VLOOKUP(A14,'Entrada de dados'!A2:N10,10,FALSE)</f>
        <v>0</v>
      </c>
    </row>
    <row r="107" spans="1:5" ht="20.100000000000001" customHeight="1">
      <c r="A107" s="96" t="s">
        <v>3</v>
      </c>
      <c r="B107" s="163" t="s">
        <v>83</v>
      </c>
      <c r="C107" s="163"/>
      <c r="D107" s="41">
        <f>VLOOKUP(A14,'Entrada de dados'!A2:N10,11,FALSE)</f>
        <v>0</v>
      </c>
    </row>
    <row r="108" spans="1:5" ht="20.100000000000001" customHeight="1">
      <c r="A108" s="96" t="s">
        <v>3</v>
      </c>
      <c r="B108" s="163" t="s">
        <v>322</v>
      </c>
      <c r="C108" s="163"/>
      <c r="D108" s="41">
        <f>VLOOKUP(A14,'Entrada de dados'!A2:N10,12,FALSE)</f>
        <v>0</v>
      </c>
    </row>
    <row r="109" spans="1:5" ht="20.100000000000001" customHeight="1">
      <c r="A109" s="96" t="s">
        <v>3</v>
      </c>
      <c r="B109" s="163" t="s">
        <v>141</v>
      </c>
      <c r="C109" s="163"/>
      <c r="D109" s="41">
        <f>VLOOKUP(A14,'Entrada de dados'!A2:N10,13,FALSE)</f>
        <v>18.78</v>
      </c>
    </row>
    <row r="110" spans="1:5" ht="20.100000000000001" customHeight="1">
      <c r="A110" s="58" t="s">
        <v>4</v>
      </c>
      <c r="B110" s="163" t="s">
        <v>323</v>
      </c>
      <c r="C110" s="163"/>
      <c r="D110" s="41">
        <f>VLOOKUP(A14,'Entrada de dados'!A2:N10,14,FALSE)</f>
        <v>25.67</v>
      </c>
    </row>
    <row r="111" spans="1:5" ht="20.100000000000001" customHeight="1">
      <c r="A111" s="58" t="s">
        <v>5</v>
      </c>
      <c r="B111" s="163" t="s">
        <v>324</v>
      </c>
      <c r="C111" s="163"/>
      <c r="D111" s="41">
        <v>0</v>
      </c>
    </row>
    <row r="112" spans="1:5" ht="20.100000000000001" customHeight="1">
      <c r="A112" s="158" t="s">
        <v>19</v>
      </c>
      <c r="B112" s="158"/>
      <c r="C112" s="158"/>
      <c r="D112" s="54">
        <f>ROUND(SUM(D105:D111),2)</f>
        <v>64.37</v>
      </c>
    </row>
    <row r="113" spans="1:8" ht="20.100000000000001" customHeight="1">
      <c r="A113" s="167"/>
      <c r="B113" s="167"/>
      <c r="C113" s="167"/>
      <c r="D113" s="32"/>
    </row>
    <row r="114" spans="1:8" ht="20.100000000000001" customHeight="1">
      <c r="A114" s="158" t="s">
        <v>79</v>
      </c>
      <c r="B114" s="158"/>
      <c r="C114" s="158"/>
      <c r="D114" s="158"/>
    </row>
    <row r="115" spans="1:8" ht="20.100000000000001" customHeight="1">
      <c r="A115" s="95">
        <v>6</v>
      </c>
      <c r="B115" s="50" t="s">
        <v>24</v>
      </c>
      <c r="C115" s="95" t="s">
        <v>38</v>
      </c>
      <c r="D115" s="95" t="s">
        <v>9</v>
      </c>
    </row>
    <row r="116" spans="1:8" ht="20.100000000000001" customHeight="1">
      <c r="A116" s="95" t="s">
        <v>1</v>
      </c>
      <c r="B116" s="47" t="s">
        <v>25</v>
      </c>
      <c r="C116" s="59">
        <v>1E-3</v>
      </c>
      <c r="D116" s="41">
        <f>D132*C116</f>
        <v>4.8</v>
      </c>
    </row>
    <row r="117" spans="1:8" ht="20.100000000000001" customHeight="1">
      <c r="A117" s="95" t="s">
        <v>3</v>
      </c>
      <c r="B117" s="47" t="s">
        <v>66</v>
      </c>
      <c r="C117" s="59">
        <f>'1'!C117</f>
        <v>7.7999999999999996E-3</v>
      </c>
      <c r="D117" s="41">
        <f>(D132+D116)*C117</f>
        <v>37.5</v>
      </c>
      <c r="E117" s="126"/>
    </row>
    <row r="118" spans="1:8" ht="20.100000000000001" customHeight="1">
      <c r="A118" s="95" t="s">
        <v>4</v>
      </c>
      <c r="B118" s="47" t="s">
        <v>67</v>
      </c>
      <c r="C118" s="60"/>
      <c r="D118" s="41"/>
    </row>
    <row r="119" spans="1:8" ht="20.100000000000001" customHeight="1">
      <c r="A119" s="95"/>
      <c r="B119" s="47" t="s">
        <v>88</v>
      </c>
      <c r="C119" s="61">
        <v>6.4999999999999997E-3</v>
      </c>
      <c r="D119" s="41">
        <f>ROUND((D132+D116+D117)/(1-$C$122)*C119,2)</f>
        <v>34.479999999999997</v>
      </c>
      <c r="F119" s="187"/>
    </row>
    <row r="120" spans="1:8" ht="20.100000000000001" customHeight="1">
      <c r="A120" s="95"/>
      <c r="B120" s="47" t="s">
        <v>87</v>
      </c>
      <c r="C120" s="61">
        <v>0.03</v>
      </c>
      <c r="D120" s="41">
        <f>ROUND((D132+D116+D117)/(1-$C$122)*C120,2)</f>
        <v>159.12</v>
      </c>
      <c r="F120" s="187"/>
    </row>
    <row r="121" spans="1:8" ht="20.100000000000001" customHeight="1">
      <c r="A121" s="52"/>
      <c r="B121" s="47" t="s">
        <v>86</v>
      </c>
      <c r="C121" s="61">
        <v>0.05</v>
      </c>
      <c r="D121" s="41">
        <f>ROUND((D132+D116+D117)/(1-$C$122)*C121,2)</f>
        <v>265.19</v>
      </c>
      <c r="F121" s="70" t="s">
        <v>165</v>
      </c>
      <c r="G121" s="70"/>
      <c r="H121" s="70"/>
    </row>
    <row r="122" spans="1:8" ht="20.100000000000001" customHeight="1">
      <c r="A122" s="95"/>
      <c r="B122" s="62" t="s">
        <v>80</v>
      </c>
      <c r="C122" s="60">
        <f>SUM(C119:C121)</f>
        <v>8.6499999999999994E-2</v>
      </c>
      <c r="D122" s="42">
        <f>ROUND(SUM(D119:D121),2)</f>
        <v>458.79</v>
      </c>
    </row>
    <row r="123" spans="1:8" ht="20.100000000000001" customHeight="1">
      <c r="A123" s="164" t="s">
        <v>81</v>
      </c>
      <c r="B123" s="165"/>
      <c r="C123" s="166"/>
      <c r="D123" s="42">
        <f>ROUND(D122+D116+D117,2)</f>
        <v>501.09</v>
      </c>
    </row>
    <row r="124" spans="1:8" ht="20.100000000000001" customHeight="1">
      <c r="A124" s="63"/>
      <c r="B124" s="32"/>
      <c r="C124" s="32"/>
      <c r="D124" s="32"/>
    </row>
    <row r="125" spans="1:8" ht="20.100000000000001" customHeight="1">
      <c r="A125" s="161" t="s">
        <v>68</v>
      </c>
      <c r="B125" s="161"/>
      <c r="C125" s="161"/>
      <c r="D125" s="161"/>
    </row>
    <row r="126" spans="1:8" ht="20.100000000000001" customHeight="1">
      <c r="A126" s="52"/>
      <c r="B126" s="159" t="s">
        <v>69</v>
      </c>
      <c r="C126" s="159"/>
      <c r="D126" s="95" t="s">
        <v>9</v>
      </c>
    </row>
    <row r="127" spans="1:8" ht="20.100000000000001" customHeight="1">
      <c r="A127" s="95" t="s">
        <v>1</v>
      </c>
      <c r="B127" s="155" t="s">
        <v>26</v>
      </c>
      <c r="C127" s="155"/>
      <c r="D127" s="64">
        <f>ROUND(D27,2)</f>
        <v>2232</v>
      </c>
      <c r="F127" s="27" t="s">
        <v>132</v>
      </c>
    </row>
    <row r="128" spans="1:8" ht="25.5">
      <c r="A128" s="95" t="s">
        <v>3</v>
      </c>
      <c r="B128" s="155" t="s">
        <v>70</v>
      </c>
      <c r="C128" s="155"/>
      <c r="D128" s="65">
        <f>ROUND(D67,2)</f>
        <v>1981.71</v>
      </c>
      <c r="F128" s="27" t="s">
        <v>133</v>
      </c>
      <c r="G128" s="2"/>
    </row>
    <row r="129" spans="1:7" ht="25.5">
      <c r="A129" s="95" t="s">
        <v>4</v>
      </c>
      <c r="B129" s="155" t="s">
        <v>52</v>
      </c>
      <c r="C129" s="155"/>
      <c r="D129" s="64">
        <f>ROUND(D77,2)</f>
        <v>158.32</v>
      </c>
      <c r="F129" s="27" t="s">
        <v>134</v>
      </c>
    </row>
    <row r="130" spans="1:7" ht="25.5">
      <c r="A130" s="95" t="s">
        <v>5</v>
      </c>
      <c r="B130" s="155" t="s">
        <v>56</v>
      </c>
      <c r="C130" s="155"/>
      <c r="D130" s="64">
        <f>ROUND(D101,2)</f>
        <v>366.39</v>
      </c>
      <c r="F130" s="27" t="s">
        <v>135</v>
      </c>
    </row>
    <row r="131" spans="1:7" ht="25.5">
      <c r="A131" s="95" t="s">
        <v>12</v>
      </c>
      <c r="B131" s="155" t="s">
        <v>71</v>
      </c>
      <c r="C131" s="155"/>
      <c r="D131" s="64">
        <f>ROUND(D112,2)</f>
        <v>64.37</v>
      </c>
      <c r="F131" s="27" t="s">
        <v>136</v>
      </c>
    </row>
    <row r="132" spans="1:7" ht="25.5">
      <c r="A132" s="159" t="s">
        <v>72</v>
      </c>
      <c r="B132" s="159"/>
      <c r="C132" s="159"/>
      <c r="D132" s="64">
        <f>ROUND(SUM(D127:D131),2)</f>
        <v>4802.79</v>
      </c>
      <c r="F132" s="27" t="s">
        <v>137</v>
      </c>
    </row>
    <row r="133" spans="1:7" ht="20.100000000000001" customHeight="1">
      <c r="A133" s="95" t="s">
        <v>13</v>
      </c>
      <c r="B133" s="155" t="s">
        <v>73</v>
      </c>
      <c r="C133" s="155"/>
      <c r="D133" s="64">
        <f>ROUND(D123,2)</f>
        <v>501.09</v>
      </c>
    </row>
    <row r="134" spans="1:7" ht="20.100000000000001" customHeight="1">
      <c r="A134" s="159" t="s">
        <v>82</v>
      </c>
      <c r="B134" s="159"/>
      <c r="C134" s="159"/>
      <c r="D134" s="64">
        <f>ROUND(D132+D133,2)</f>
        <v>5303.88</v>
      </c>
    </row>
    <row r="135" spans="1:7" ht="20.100000000000001" customHeight="1">
      <c r="A135" s="63"/>
      <c r="B135" s="32"/>
      <c r="C135" s="32"/>
      <c r="D135" s="32"/>
    </row>
    <row r="136" spans="1:7" ht="20.100000000000001" customHeight="1">
      <c r="A136" s="161" t="s">
        <v>74</v>
      </c>
      <c r="B136" s="161"/>
      <c r="C136" s="161"/>
      <c r="D136" s="161"/>
    </row>
    <row r="137" spans="1:7" ht="20.100000000000001" customHeight="1">
      <c r="A137" s="159" t="s">
        <v>75</v>
      </c>
      <c r="B137" s="159"/>
      <c r="C137" s="159"/>
      <c r="D137" s="159"/>
    </row>
    <row r="138" spans="1:7" ht="20.100000000000001" customHeight="1">
      <c r="A138" s="52"/>
      <c r="B138" s="159" t="s">
        <v>76</v>
      </c>
      <c r="C138" s="159"/>
      <c r="D138" s="95" t="s">
        <v>77</v>
      </c>
    </row>
    <row r="139" spans="1:7" ht="20.100000000000001" customHeight="1">
      <c r="A139" s="95" t="s">
        <v>1</v>
      </c>
      <c r="B139" s="155" t="s">
        <v>143</v>
      </c>
      <c r="C139" s="155"/>
      <c r="D139" s="66">
        <f>D134</f>
        <v>5303.88</v>
      </c>
      <c r="G139" s="9"/>
    </row>
    <row r="140" spans="1:7" ht="20.100000000000001" customHeight="1">
      <c r="A140" s="95" t="s">
        <v>3</v>
      </c>
      <c r="B140" s="155" t="s">
        <v>96</v>
      </c>
      <c r="C140" s="155"/>
      <c r="D140" s="67">
        <f>D14</f>
        <v>4</v>
      </c>
    </row>
    <row r="141" spans="1:7" ht="20.100000000000001" customHeight="1">
      <c r="A141" s="95" t="s">
        <v>4</v>
      </c>
      <c r="B141" s="155" t="s">
        <v>144</v>
      </c>
      <c r="C141" s="155"/>
      <c r="D141" s="68">
        <f>D139*D140</f>
        <v>21215.52</v>
      </c>
    </row>
    <row r="142" spans="1:7" ht="30.75" customHeight="1">
      <c r="A142" s="95" t="s">
        <v>5</v>
      </c>
      <c r="B142" s="155" t="s">
        <v>78</v>
      </c>
      <c r="C142" s="155"/>
      <c r="D142" s="69">
        <f>D141*30</f>
        <v>636465.6</v>
      </c>
    </row>
    <row r="144" spans="1:7">
      <c r="A144" s="162"/>
      <c r="B144" s="162"/>
      <c r="C144" s="162"/>
      <c r="D144" s="162"/>
    </row>
    <row r="148" spans="1:4">
      <c r="A148" s="162"/>
      <c r="B148" s="162"/>
      <c r="C148" s="162"/>
      <c r="D148" s="162"/>
    </row>
    <row r="149" spans="1:4">
      <c r="A149" s="162"/>
      <c r="B149" s="162"/>
      <c r="C149" s="162"/>
      <c r="D149" s="162"/>
    </row>
    <row r="150" spans="1:4">
      <c r="A150" s="162"/>
      <c r="B150" s="162"/>
      <c r="C150" s="162"/>
      <c r="D150" s="162"/>
    </row>
    <row r="151" spans="1:4">
      <c r="A151" s="162"/>
      <c r="B151" s="162"/>
      <c r="C151" s="162"/>
      <c r="D151" s="162"/>
    </row>
  </sheetData>
  <mergeCells count="108">
    <mergeCell ref="A144:D144"/>
    <mergeCell ref="A148:D148"/>
    <mergeCell ref="A149:D149"/>
    <mergeCell ref="A150:D150"/>
    <mergeCell ref="A151:D151"/>
    <mergeCell ref="A137:D137"/>
    <mergeCell ref="B138:C138"/>
    <mergeCell ref="B139:C139"/>
    <mergeCell ref="B140:C140"/>
    <mergeCell ref="B141:C141"/>
    <mergeCell ref="B142:C142"/>
    <mergeCell ref="B130:C130"/>
    <mergeCell ref="B131:C131"/>
    <mergeCell ref="A132:C132"/>
    <mergeCell ref="B133:C133"/>
    <mergeCell ref="A134:C134"/>
    <mergeCell ref="A136:D136"/>
    <mergeCell ref="A123:C123"/>
    <mergeCell ref="A125:D125"/>
    <mergeCell ref="B126:C126"/>
    <mergeCell ref="B127:C127"/>
    <mergeCell ref="B128:C128"/>
    <mergeCell ref="B129:C129"/>
    <mergeCell ref="B110:C110"/>
    <mergeCell ref="B111:C111"/>
    <mergeCell ref="A112:C112"/>
    <mergeCell ref="A113:C113"/>
    <mergeCell ref="A114:D114"/>
    <mergeCell ref="F119:F120"/>
    <mergeCell ref="B104:C104"/>
    <mergeCell ref="B105:C105"/>
    <mergeCell ref="B106:C106"/>
    <mergeCell ref="B107:C107"/>
    <mergeCell ref="B108:C108"/>
    <mergeCell ref="B109:C109"/>
    <mergeCell ref="A97:D97"/>
    <mergeCell ref="B98:C98"/>
    <mergeCell ref="B99:C99"/>
    <mergeCell ref="B100:C100"/>
    <mergeCell ref="A101:C101"/>
    <mergeCell ref="A103:D103"/>
    <mergeCell ref="F87:K87"/>
    <mergeCell ref="F88:H88"/>
    <mergeCell ref="F89:K89"/>
    <mergeCell ref="A90:B90"/>
    <mergeCell ref="A92:D92"/>
    <mergeCell ref="A95:C95"/>
    <mergeCell ref="A79:D79"/>
    <mergeCell ref="A81:D81"/>
    <mergeCell ref="F83:H83"/>
    <mergeCell ref="F84:H84"/>
    <mergeCell ref="F85:K85"/>
    <mergeCell ref="F86:K86"/>
    <mergeCell ref="F72:H72"/>
    <mergeCell ref="F73:K73"/>
    <mergeCell ref="F74:K74"/>
    <mergeCell ref="F75:H75"/>
    <mergeCell ref="F76:H76"/>
    <mergeCell ref="A77:B77"/>
    <mergeCell ref="B64:C64"/>
    <mergeCell ref="B65:C65"/>
    <mergeCell ref="B66:C66"/>
    <mergeCell ref="A67:C67"/>
    <mergeCell ref="A69:D69"/>
    <mergeCell ref="F71:K71"/>
    <mergeCell ref="B57:C57"/>
    <mergeCell ref="B58:C58"/>
    <mergeCell ref="B59:C59"/>
    <mergeCell ref="A60:C60"/>
    <mergeCell ref="A62:D62"/>
    <mergeCell ref="B63:C63"/>
    <mergeCell ref="A51:D51"/>
    <mergeCell ref="B52:C52"/>
    <mergeCell ref="B53:C53"/>
    <mergeCell ref="B54:C54"/>
    <mergeCell ref="B55:C55"/>
    <mergeCell ref="B56:C56"/>
    <mergeCell ref="A27:C27"/>
    <mergeCell ref="A29:D29"/>
    <mergeCell ref="A31:D31"/>
    <mergeCell ref="A37:B37"/>
    <mergeCell ref="A39:D39"/>
    <mergeCell ref="A49:B49"/>
    <mergeCell ref="B21:C21"/>
    <mergeCell ref="B22:C22"/>
    <mergeCell ref="B23:C23"/>
    <mergeCell ref="B24:C24"/>
    <mergeCell ref="B25:C25"/>
    <mergeCell ref="B26:C26"/>
    <mergeCell ref="D14:D15"/>
    <mergeCell ref="A16:C16"/>
    <mergeCell ref="A17:C17"/>
    <mergeCell ref="A18:C18"/>
    <mergeCell ref="A19:D19"/>
    <mergeCell ref="B20:C20"/>
    <mergeCell ref="B8:C8"/>
    <mergeCell ref="B9:C9"/>
    <mergeCell ref="B10:C10"/>
    <mergeCell ref="B11:C11"/>
    <mergeCell ref="A13:B13"/>
    <mergeCell ref="A14:B15"/>
    <mergeCell ref="C14:C15"/>
    <mergeCell ref="A1:D1"/>
    <mergeCell ref="A2:D2"/>
    <mergeCell ref="A3:D3"/>
    <mergeCell ref="A4:D4"/>
    <mergeCell ref="B5:D5"/>
    <mergeCell ref="A7:D7"/>
  </mergeCells>
  <printOptions horizontalCentered="1"/>
  <pageMargins left="0.39370078740157483" right="0.39370078740157483" top="1.9685039370078741" bottom="0.78740157480314965" header="0" footer="0"/>
  <pageSetup paperSize="9" scale="80" fitToHeight="0" orientation="portrait" r:id="rId1"/>
  <rowBreaks count="1" manualBreakCount="1">
    <brk id="67" max="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1"/>
  <sheetViews>
    <sheetView topLeftCell="A10" zoomScale="70" zoomScaleNormal="70" zoomScaleSheetLayoutView="110" workbookViewId="0">
      <selection activeCell="D143" sqref="D143"/>
    </sheetView>
  </sheetViews>
  <sheetFormatPr defaultColWidth="9.140625" defaultRowHeight="12.75"/>
  <cols>
    <col min="1" max="1" width="6" style="100" customWidth="1"/>
    <col min="2" max="2" width="62.7109375" style="1" customWidth="1"/>
    <col min="3" max="3" width="18.5703125" style="1" customWidth="1"/>
    <col min="4" max="4" width="30.7109375" style="1" customWidth="1"/>
    <col min="5" max="5" width="17.42578125" style="1" customWidth="1"/>
    <col min="6" max="6" width="102.42578125" style="1" customWidth="1"/>
    <col min="7" max="7" width="10.5703125" style="1" customWidth="1"/>
    <col min="8" max="8" width="43.85546875" style="1" customWidth="1"/>
    <col min="9" max="10" width="9.140625" style="1"/>
    <col min="11" max="11" width="11" style="1" customWidth="1"/>
    <col min="12" max="16384" width="9.140625" style="1"/>
  </cols>
  <sheetData>
    <row r="1" spans="1:4">
      <c r="A1" s="173" t="s">
        <v>93</v>
      </c>
      <c r="B1" s="173"/>
      <c r="C1" s="173"/>
      <c r="D1" s="173"/>
    </row>
    <row r="2" spans="1:4" ht="4.5" customHeight="1">
      <c r="A2" s="173"/>
      <c r="B2" s="173"/>
      <c r="C2" s="173"/>
      <c r="D2" s="173"/>
    </row>
    <row r="3" spans="1:4" ht="20.100000000000001" customHeight="1">
      <c r="A3" s="181" t="s">
        <v>315</v>
      </c>
      <c r="B3" s="179"/>
      <c r="C3" s="179"/>
      <c r="D3" s="180"/>
    </row>
    <row r="4" spans="1:4" ht="20.100000000000001" customHeight="1">
      <c r="A4" s="181" t="s">
        <v>316</v>
      </c>
      <c r="B4" s="179"/>
      <c r="C4" s="179"/>
      <c r="D4" s="180"/>
    </row>
    <row r="5" spans="1:4" ht="20.100000000000001" customHeight="1">
      <c r="A5" s="28"/>
      <c r="B5" s="178"/>
      <c r="C5" s="179"/>
      <c r="D5" s="180"/>
    </row>
    <row r="6" spans="1:4" ht="20.100000000000001" customHeight="1">
      <c r="A6" s="29"/>
      <c r="B6" s="30"/>
      <c r="C6" s="31"/>
      <c r="D6" s="32"/>
    </row>
    <row r="7" spans="1:4" ht="20.100000000000001" customHeight="1">
      <c r="A7" s="174" t="s">
        <v>0</v>
      </c>
      <c r="B7" s="175"/>
      <c r="C7" s="175"/>
      <c r="D7" s="176"/>
    </row>
    <row r="8" spans="1:4" ht="20.100000000000001" customHeight="1">
      <c r="A8" s="96" t="s">
        <v>1</v>
      </c>
      <c r="B8" s="177" t="s">
        <v>2</v>
      </c>
      <c r="C8" s="177"/>
      <c r="D8" s="34">
        <v>45783</v>
      </c>
    </row>
    <row r="9" spans="1:4" ht="30" customHeight="1">
      <c r="A9" s="96" t="s">
        <v>3</v>
      </c>
      <c r="B9" s="177" t="s">
        <v>159</v>
      </c>
      <c r="C9" s="177"/>
      <c r="D9" s="94" t="s">
        <v>317</v>
      </c>
    </row>
    <row r="10" spans="1:4" ht="20.100000000000001" customHeight="1">
      <c r="A10" s="96" t="s">
        <v>4</v>
      </c>
      <c r="B10" s="177" t="s">
        <v>142</v>
      </c>
      <c r="C10" s="177"/>
      <c r="D10" s="36" t="str">
        <f>VLOOKUP(A14,'Entrada de dados'!$A$1:$N$8,2,FALSE)</f>
        <v>PR000456/2025</v>
      </c>
    </row>
    <row r="11" spans="1:4" ht="20.100000000000001" customHeight="1">
      <c r="A11" s="96" t="s">
        <v>5</v>
      </c>
      <c r="B11" s="177" t="s">
        <v>6</v>
      </c>
      <c r="C11" s="177"/>
      <c r="D11" s="37">
        <v>30</v>
      </c>
    </row>
    <row r="12" spans="1:4" ht="20.100000000000001" customHeight="1">
      <c r="A12" s="31"/>
      <c r="B12" s="38"/>
      <c r="C12" s="31"/>
      <c r="D12" s="32"/>
    </row>
    <row r="13" spans="1:4" ht="27" customHeight="1">
      <c r="A13" s="156" t="s">
        <v>91</v>
      </c>
      <c r="B13" s="156"/>
      <c r="C13" s="94" t="s">
        <v>90</v>
      </c>
      <c r="D13" s="94" t="s">
        <v>100</v>
      </c>
    </row>
    <row r="14" spans="1:4" ht="20.100000000000001" customHeight="1">
      <c r="A14" s="182" t="str">
        <f>'Quadro Resumo'!D6</f>
        <v>MEIO OFICIAL DE MANUTENÇÃO</v>
      </c>
      <c r="B14" s="183"/>
      <c r="C14" s="169" t="s">
        <v>92</v>
      </c>
      <c r="D14" s="171">
        <f>VLOOKUP(A14,'Quadro Resumo'!D3:G13,4,FALSE)</f>
        <v>3</v>
      </c>
    </row>
    <row r="15" spans="1:4" ht="20.100000000000001" customHeight="1">
      <c r="A15" s="184"/>
      <c r="B15" s="185"/>
      <c r="C15" s="170"/>
      <c r="D15" s="172"/>
    </row>
    <row r="16" spans="1:4" ht="20.100000000000001" customHeight="1">
      <c r="A16" s="152" t="s">
        <v>174</v>
      </c>
      <c r="B16" s="153"/>
      <c r="C16" s="154"/>
      <c r="D16" s="93">
        <v>44</v>
      </c>
    </row>
    <row r="17" spans="1:6" ht="20.100000000000001" customHeight="1">
      <c r="A17" s="152" t="s">
        <v>160</v>
      </c>
      <c r="B17" s="153"/>
      <c r="C17" s="154"/>
      <c r="D17" s="79">
        <v>45689</v>
      </c>
    </row>
    <row r="18" spans="1:6" ht="20.100000000000001" customHeight="1">
      <c r="A18" s="190"/>
      <c r="B18" s="190"/>
      <c r="C18" s="190"/>
      <c r="D18" s="39"/>
    </row>
    <row r="19" spans="1:6" ht="20.100000000000001" customHeight="1">
      <c r="A19" s="158" t="s">
        <v>7</v>
      </c>
      <c r="B19" s="158"/>
      <c r="C19" s="158"/>
      <c r="D19" s="158"/>
    </row>
    <row r="20" spans="1:6" ht="20.100000000000001" customHeight="1">
      <c r="A20" s="40">
        <v>1</v>
      </c>
      <c r="B20" s="156" t="s">
        <v>8</v>
      </c>
      <c r="C20" s="156"/>
      <c r="D20" s="40" t="s">
        <v>9</v>
      </c>
    </row>
    <row r="21" spans="1:6" ht="20.100000000000001" customHeight="1">
      <c r="A21" s="94" t="s">
        <v>1</v>
      </c>
      <c r="B21" s="160" t="s">
        <v>10</v>
      </c>
      <c r="C21" s="160"/>
      <c r="D21" s="41">
        <f>VLOOKUP(A14,'Entrada de dados'!A2:H8,3,FALSE)/44*'3'!D16</f>
        <v>2689</v>
      </c>
      <c r="F21" s="26" t="s">
        <v>138</v>
      </c>
    </row>
    <row r="22" spans="1:6" ht="20.100000000000001" customHeight="1">
      <c r="A22" s="94" t="s">
        <v>3</v>
      </c>
      <c r="B22" s="160" t="s">
        <v>99</v>
      </c>
      <c r="C22" s="160"/>
      <c r="D22" s="41"/>
      <c r="F22" s="26" t="s">
        <v>161</v>
      </c>
    </row>
    <row r="23" spans="1:6" ht="20.100000000000001" customHeight="1">
      <c r="A23" s="94" t="s">
        <v>4</v>
      </c>
      <c r="B23" s="160" t="s">
        <v>98</v>
      </c>
      <c r="C23" s="160"/>
      <c r="D23" s="41">
        <v>0</v>
      </c>
      <c r="F23" s="71" t="s">
        <v>166</v>
      </c>
    </row>
    <row r="24" spans="1:6" ht="20.100000000000001" customHeight="1">
      <c r="A24" s="94" t="s">
        <v>5</v>
      </c>
      <c r="B24" s="160" t="s">
        <v>11</v>
      </c>
      <c r="C24" s="160"/>
      <c r="D24" s="41"/>
      <c r="F24" s="26" t="s">
        <v>161</v>
      </c>
    </row>
    <row r="25" spans="1:6" ht="20.100000000000001" customHeight="1">
      <c r="A25" s="94" t="s">
        <v>12</v>
      </c>
      <c r="B25" s="160" t="s">
        <v>29</v>
      </c>
      <c r="C25" s="160"/>
      <c r="D25" s="41"/>
      <c r="F25" s="26" t="s">
        <v>161</v>
      </c>
    </row>
    <row r="26" spans="1:6" ht="20.100000000000001" customHeight="1">
      <c r="A26" s="94" t="s">
        <v>13</v>
      </c>
      <c r="B26" s="160" t="s">
        <v>319</v>
      </c>
      <c r="C26" s="160"/>
      <c r="D26" s="41">
        <v>0</v>
      </c>
      <c r="F26" s="26" t="s">
        <v>161</v>
      </c>
    </row>
    <row r="27" spans="1:6" ht="20.100000000000001" customHeight="1">
      <c r="A27" s="156" t="s">
        <v>16</v>
      </c>
      <c r="B27" s="156"/>
      <c r="C27" s="156"/>
      <c r="D27" s="42">
        <f>SUM(D21:D26)</f>
        <v>2689</v>
      </c>
    </row>
    <row r="28" spans="1:6" ht="20.100000000000001" customHeight="1">
      <c r="A28" s="31"/>
      <c r="B28" s="38"/>
      <c r="C28" s="31"/>
      <c r="D28" s="43"/>
    </row>
    <row r="29" spans="1:6" ht="20.100000000000001" customHeight="1">
      <c r="A29" s="191" t="s">
        <v>30</v>
      </c>
      <c r="B29" s="191"/>
      <c r="C29" s="191"/>
      <c r="D29" s="191"/>
    </row>
    <row r="30" spans="1:6" ht="20.100000000000001" customHeight="1">
      <c r="A30" s="97"/>
      <c r="B30" s="99"/>
      <c r="C30" s="99"/>
      <c r="D30" s="43"/>
    </row>
    <row r="31" spans="1:6" ht="20.100000000000001" customHeight="1">
      <c r="A31" s="158" t="s">
        <v>31</v>
      </c>
      <c r="B31" s="158"/>
      <c r="C31" s="158"/>
      <c r="D31" s="158"/>
    </row>
    <row r="32" spans="1:6" ht="20.100000000000001" customHeight="1">
      <c r="A32" s="96" t="s">
        <v>32</v>
      </c>
      <c r="B32" s="96" t="s">
        <v>102</v>
      </c>
      <c r="C32" s="95" t="s">
        <v>38</v>
      </c>
      <c r="D32" s="96" t="s">
        <v>9</v>
      </c>
    </row>
    <row r="33" spans="1:13" ht="20.100000000000001" customHeight="1">
      <c r="A33" s="96" t="s">
        <v>1</v>
      </c>
      <c r="B33" s="47" t="s">
        <v>27</v>
      </c>
      <c r="C33" s="48">
        <v>8.3299999999999999E-2</v>
      </c>
      <c r="D33" s="49">
        <f>ROUND($D$27*C33,2)</f>
        <v>223.99</v>
      </c>
      <c r="F33" s="1" t="s">
        <v>113</v>
      </c>
    </row>
    <row r="34" spans="1:13" ht="20.100000000000001" customHeight="1">
      <c r="A34" s="96" t="s">
        <v>3</v>
      </c>
      <c r="B34" s="47" t="s">
        <v>184</v>
      </c>
      <c r="C34" s="48">
        <v>2.7799999999999998E-2</v>
      </c>
      <c r="D34" s="49">
        <f>ROUND($D$27*C34,2)</f>
        <v>74.75</v>
      </c>
      <c r="F34" s="25" t="s">
        <v>164</v>
      </c>
    </row>
    <row r="35" spans="1:13" ht="20.100000000000001" customHeight="1">
      <c r="A35" s="96" t="s">
        <v>4</v>
      </c>
      <c r="B35" s="50" t="s">
        <v>94</v>
      </c>
      <c r="C35" s="51">
        <f>SUM(C33:C34)</f>
        <v>0.1111</v>
      </c>
      <c r="D35" s="42">
        <f>SUM(D33:D34)</f>
        <v>298.74</v>
      </c>
    </row>
    <row r="36" spans="1:13" ht="20.100000000000001" customHeight="1">
      <c r="A36" s="96" t="s">
        <v>5</v>
      </c>
      <c r="B36" s="47" t="s">
        <v>95</v>
      </c>
      <c r="C36" s="48">
        <f>C35*C49</f>
        <v>0.04</v>
      </c>
      <c r="D36" s="49">
        <f>ROUND($D$27*C36,2)</f>
        <v>107.56</v>
      </c>
    </row>
    <row r="37" spans="1:13" ht="20.100000000000001" customHeight="1">
      <c r="A37" s="158" t="s">
        <v>34</v>
      </c>
      <c r="B37" s="158"/>
      <c r="C37" s="51">
        <f>SUM(C35:C36)</f>
        <v>0.15110000000000001</v>
      </c>
      <c r="D37" s="42">
        <f>SUM(D35:D36)</f>
        <v>406.3</v>
      </c>
      <c r="M37" s="5"/>
    </row>
    <row r="38" spans="1:13" ht="20.100000000000001" customHeight="1">
      <c r="A38" s="97"/>
      <c r="B38" s="97"/>
      <c r="C38" s="97"/>
      <c r="D38" s="43"/>
    </row>
    <row r="39" spans="1:13" ht="33" customHeight="1">
      <c r="A39" s="159" t="s">
        <v>35</v>
      </c>
      <c r="B39" s="159"/>
      <c r="C39" s="159"/>
      <c r="D39" s="159"/>
    </row>
    <row r="40" spans="1:13" ht="33.75" customHeight="1">
      <c r="A40" s="95" t="s">
        <v>36</v>
      </c>
      <c r="B40" s="50" t="s">
        <v>37</v>
      </c>
      <c r="C40" s="95" t="s">
        <v>38</v>
      </c>
      <c r="D40" s="95" t="s">
        <v>9</v>
      </c>
      <c r="E40" s="2"/>
    </row>
    <row r="41" spans="1:13" ht="20.100000000000001" customHeight="1">
      <c r="A41" s="52" t="s">
        <v>1</v>
      </c>
      <c r="B41" s="47" t="s">
        <v>39</v>
      </c>
      <c r="C41" s="48">
        <v>0.2</v>
      </c>
      <c r="D41" s="49">
        <f t="shared" ref="D41:D48" si="0">ROUND($D$27*C41,2)</f>
        <v>537.79999999999995</v>
      </c>
      <c r="F41" s="72" t="s">
        <v>114</v>
      </c>
    </row>
    <row r="42" spans="1:13" ht="20.100000000000001" customHeight="1">
      <c r="A42" s="52" t="s">
        <v>3</v>
      </c>
      <c r="B42" s="47" t="s">
        <v>40</v>
      </c>
      <c r="C42" s="48">
        <v>2.5000000000000001E-2</v>
      </c>
      <c r="D42" s="49">
        <f t="shared" si="0"/>
        <v>67.23</v>
      </c>
      <c r="F42" s="72" t="s">
        <v>115</v>
      </c>
    </row>
    <row r="43" spans="1:13" ht="20.100000000000001" customHeight="1">
      <c r="A43" s="52" t="s">
        <v>4</v>
      </c>
      <c r="B43" s="47" t="s">
        <v>41</v>
      </c>
      <c r="C43" s="48">
        <f>2%*1.0942</f>
        <v>2.1899999999999999E-2</v>
      </c>
      <c r="D43" s="49">
        <f t="shared" si="0"/>
        <v>58.89</v>
      </c>
      <c r="F43" s="72" t="s">
        <v>116</v>
      </c>
    </row>
    <row r="44" spans="1:13" ht="20.100000000000001" customHeight="1">
      <c r="A44" s="52" t="s">
        <v>5</v>
      </c>
      <c r="B44" s="47" t="s">
        <v>42</v>
      </c>
      <c r="C44" s="48">
        <v>1.4999999999999999E-2</v>
      </c>
      <c r="D44" s="49">
        <f t="shared" si="0"/>
        <v>40.340000000000003</v>
      </c>
      <c r="F44" s="72" t="s">
        <v>117</v>
      </c>
    </row>
    <row r="45" spans="1:13" ht="20.100000000000001" customHeight="1">
      <c r="A45" s="52" t="s">
        <v>12</v>
      </c>
      <c r="B45" s="47" t="s">
        <v>43</v>
      </c>
      <c r="C45" s="48">
        <v>0.01</v>
      </c>
      <c r="D45" s="49">
        <f t="shared" si="0"/>
        <v>26.89</v>
      </c>
      <c r="F45" s="72" t="s">
        <v>118</v>
      </c>
    </row>
    <row r="46" spans="1:13" ht="20.100000000000001" customHeight="1">
      <c r="A46" s="52" t="s">
        <v>13</v>
      </c>
      <c r="B46" s="47" t="s">
        <v>44</v>
      </c>
      <c r="C46" s="48">
        <v>6.0000000000000001E-3</v>
      </c>
      <c r="D46" s="49">
        <f t="shared" si="0"/>
        <v>16.13</v>
      </c>
      <c r="F46" s="72" t="s">
        <v>119</v>
      </c>
    </row>
    <row r="47" spans="1:13" ht="20.100000000000001" customHeight="1">
      <c r="A47" s="52" t="s">
        <v>14</v>
      </c>
      <c r="B47" s="47" t="s">
        <v>45</v>
      </c>
      <c r="C47" s="48">
        <v>2E-3</v>
      </c>
      <c r="D47" s="49">
        <f t="shared" si="0"/>
        <v>5.38</v>
      </c>
      <c r="F47" s="72" t="s">
        <v>120</v>
      </c>
    </row>
    <row r="48" spans="1:13" ht="20.100000000000001" customHeight="1">
      <c r="A48" s="52" t="s">
        <v>15</v>
      </c>
      <c r="B48" s="47" t="s">
        <v>46</v>
      </c>
      <c r="C48" s="48">
        <v>0.08</v>
      </c>
      <c r="D48" s="49">
        <f t="shared" si="0"/>
        <v>215.12</v>
      </c>
      <c r="F48" s="72" t="s">
        <v>121</v>
      </c>
    </row>
    <row r="49" spans="1:13" ht="20.100000000000001" customHeight="1">
      <c r="A49" s="159" t="s">
        <v>22</v>
      </c>
      <c r="B49" s="159"/>
      <c r="C49" s="51">
        <f>ROUND(SUM(C41:C48),4)</f>
        <v>0.3599</v>
      </c>
      <c r="D49" s="42">
        <f>ROUND(SUM(D41:D48),2)</f>
        <v>967.78</v>
      </c>
      <c r="F49" s="25" t="s">
        <v>122</v>
      </c>
      <c r="M49" s="5"/>
    </row>
    <row r="50" spans="1:13" ht="20.100000000000001" customHeight="1">
      <c r="A50" s="97"/>
      <c r="B50" s="97"/>
      <c r="C50" s="97"/>
      <c r="D50" s="43"/>
    </row>
    <row r="51" spans="1:13" ht="20.100000000000001" customHeight="1">
      <c r="A51" s="161" t="s">
        <v>47</v>
      </c>
      <c r="B51" s="161"/>
      <c r="C51" s="161"/>
      <c r="D51" s="161"/>
    </row>
    <row r="52" spans="1:13" ht="20.100000000000001" customHeight="1">
      <c r="A52" s="94" t="s">
        <v>48</v>
      </c>
      <c r="B52" s="156" t="s">
        <v>17</v>
      </c>
      <c r="C52" s="156"/>
      <c r="D52" s="94" t="s">
        <v>9</v>
      </c>
      <c r="F52" s="14" t="s">
        <v>104</v>
      </c>
      <c r="G52" s="8"/>
      <c r="K52" s="5"/>
    </row>
    <row r="53" spans="1:13" ht="20.100000000000001" customHeight="1">
      <c r="A53" s="94" t="s">
        <v>1</v>
      </c>
      <c r="B53" s="155" t="s">
        <v>101</v>
      </c>
      <c r="C53" s="155"/>
      <c r="D53" s="41">
        <f>IF(((F55*2*F53)-(D21*0.06))&lt;0,0,((F55*2*F53)-(D21*0.06)))</f>
        <v>0</v>
      </c>
      <c r="F53" s="16">
        <v>22</v>
      </c>
      <c r="G53" s="8"/>
      <c r="H53" s="26" t="s">
        <v>163</v>
      </c>
      <c r="K53" s="5"/>
    </row>
    <row r="54" spans="1:13" ht="20.100000000000001" customHeight="1">
      <c r="A54" s="94" t="s">
        <v>3</v>
      </c>
      <c r="B54" s="157" t="s">
        <v>112</v>
      </c>
      <c r="C54" s="157"/>
      <c r="D54" s="41">
        <f>F57*1*(1-F59)</f>
        <v>644</v>
      </c>
      <c r="F54" s="14" t="s">
        <v>145</v>
      </c>
      <c r="G54" s="8"/>
      <c r="H54" s="26" t="s">
        <v>163</v>
      </c>
      <c r="K54" s="5"/>
    </row>
    <row r="55" spans="1:13" ht="20.100000000000001" customHeight="1">
      <c r="A55" s="94" t="s">
        <v>4</v>
      </c>
      <c r="B55" s="155" t="s">
        <v>175</v>
      </c>
      <c r="C55" s="155"/>
      <c r="D55" s="41">
        <f>VLOOKUP(A14,'Entrada de dados'!A2:H8,5,FALSE)</f>
        <v>28</v>
      </c>
      <c r="F55" s="15">
        <v>0</v>
      </c>
      <c r="G55" s="8"/>
      <c r="H55" s="26" t="s">
        <v>320</v>
      </c>
      <c r="K55" s="5"/>
    </row>
    <row r="56" spans="1:13" ht="20.100000000000001" customHeight="1">
      <c r="A56" s="94" t="s">
        <v>5</v>
      </c>
      <c r="B56" s="155" t="s">
        <v>176</v>
      </c>
      <c r="C56" s="155"/>
      <c r="D56" s="41">
        <f>VLOOKUP(A14,'Entrada de dados'!A2:H8,6,FALSE)</f>
        <v>28</v>
      </c>
      <c r="F56" s="14" t="s">
        <v>105</v>
      </c>
      <c r="G56" s="8"/>
      <c r="H56" s="26" t="s">
        <v>163</v>
      </c>
      <c r="K56" s="5"/>
    </row>
    <row r="57" spans="1:13" ht="20.100000000000001" customHeight="1">
      <c r="A57" s="98" t="s">
        <v>49</v>
      </c>
      <c r="B57" s="155" t="s">
        <v>177</v>
      </c>
      <c r="C57" s="155"/>
      <c r="D57" s="41">
        <f>VLOOKUP(A14,'Entrada de dados'!A2:H8,7,FALSE)</f>
        <v>81</v>
      </c>
      <c r="F57" s="15">
        <f>VLOOKUP(A14,'Entrada de dados'!A2:H8,4,FALSE)</f>
        <v>805</v>
      </c>
      <c r="G57" s="8"/>
      <c r="H57" s="26" t="s">
        <v>163</v>
      </c>
      <c r="K57" s="5"/>
    </row>
    <row r="58" spans="1:13" ht="20.100000000000001" customHeight="1">
      <c r="A58" s="98" t="s">
        <v>13</v>
      </c>
      <c r="B58" s="157" t="s">
        <v>178</v>
      </c>
      <c r="C58" s="157"/>
      <c r="D58" s="41">
        <f>VLOOKUP(A14,'Entrada de dados'!A2:H8,8,FALSE)*0.8</f>
        <v>53.66</v>
      </c>
      <c r="F58" s="14" t="s">
        <v>106</v>
      </c>
      <c r="G58" s="8"/>
      <c r="H58" s="26" t="s">
        <v>163</v>
      </c>
      <c r="K58" s="5"/>
    </row>
    <row r="59" spans="1:13" ht="20.100000000000001" customHeight="1">
      <c r="A59" s="98" t="s">
        <v>14</v>
      </c>
      <c r="B59" s="157" t="s">
        <v>179</v>
      </c>
      <c r="C59" s="157"/>
      <c r="D59" s="41">
        <v>0</v>
      </c>
      <c r="F59" s="10">
        <v>0.2</v>
      </c>
      <c r="G59" s="8"/>
      <c r="H59" s="26" t="s">
        <v>163</v>
      </c>
      <c r="K59" s="5"/>
    </row>
    <row r="60" spans="1:13" ht="20.100000000000001" customHeight="1">
      <c r="A60" s="158" t="s">
        <v>18</v>
      </c>
      <c r="B60" s="158"/>
      <c r="C60" s="158"/>
      <c r="D60" s="54">
        <f>ROUND(SUM(D53:D59),2)</f>
        <v>834.66</v>
      </c>
      <c r="F60" s="9"/>
      <c r="G60" s="8"/>
      <c r="K60" s="5"/>
    </row>
    <row r="61" spans="1:13" ht="20.100000000000001" customHeight="1">
      <c r="A61" s="31"/>
      <c r="B61" s="38"/>
      <c r="C61" s="31"/>
      <c r="D61" s="43"/>
      <c r="F61" s="9"/>
      <c r="G61" s="8"/>
      <c r="K61" s="5"/>
    </row>
    <row r="62" spans="1:13" ht="20.100000000000001" customHeight="1">
      <c r="A62" s="158" t="s">
        <v>50</v>
      </c>
      <c r="B62" s="158"/>
      <c r="C62" s="158"/>
      <c r="D62" s="158"/>
      <c r="F62" s="9"/>
      <c r="G62" s="8"/>
      <c r="K62" s="5"/>
    </row>
    <row r="63" spans="1:13" ht="20.100000000000001" customHeight="1">
      <c r="A63" s="95">
        <v>2</v>
      </c>
      <c r="B63" s="159" t="s">
        <v>51</v>
      </c>
      <c r="C63" s="159"/>
      <c r="D63" s="95" t="s">
        <v>9</v>
      </c>
      <c r="F63" s="9"/>
      <c r="G63" s="8"/>
      <c r="K63" s="5"/>
    </row>
    <row r="64" spans="1:13" ht="20.100000000000001" customHeight="1">
      <c r="A64" s="95" t="s">
        <v>32</v>
      </c>
      <c r="B64" s="155" t="s">
        <v>33</v>
      </c>
      <c r="C64" s="155"/>
      <c r="D64" s="49">
        <f>ROUND(D37,2)</f>
        <v>406.3</v>
      </c>
      <c r="F64" s="9"/>
      <c r="G64" s="8"/>
      <c r="K64" s="5"/>
    </row>
    <row r="65" spans="1:13" ht="20.100000000000001" customHeight="1">
      <c r="A65" s="95" t="s">
        <v>36</v>
      </c>
      <c r="B65" s="155" t="s">
        <v>37</v>
      </c>
      <c r="C65" s="155"/>
      <c r="D65" s="49">
        <f>ROUND(D49,2)</f>
        <v>967.78</v>
      </c>
      <c r="F65" s="9"/>
      <c r="G65" s="8"/>
      <c r="K65" s="5"/>
    </row>
    <row r="66" spans="1:13" ht="20.100000000000001" customHeight="1">
      <c r="A66" s="95" t="s">
        <v>48</v>
      </c>
      <c r="B66" s="155" t="s">
        <v>17</v>
      </c>
      <c r="C66" s="155"/>
      <c r="D66" s="49">
        <f>ROUND(D60,2)</f>
        <v>834.66</v>
      </c>
      <c r="F66" s="9"/>
      <c r="G66" s="8"/>
      <c r="K66" s="5"/>
    </row>
    <row r="67" spans="1:13" ht="20.100000000000001" customHeight="1">
      <c r="A67" s="159" t="s">
        <v>22</v>
      </c>
      <c r="B67" s="159"/>
      <c r="C67" s="159"/>
      <c r="D67" s="42">
        <f>ROUND(SUM(D64:D66),2)</f>
        <v>2208.7399999999998</v>
      </c>
      <c r="F67" s="9"/>
      <c r="G67" s="8"/>
      <c r="K67" s="5"/>
    </row>
    <row r="68" spans="1:13" ht="20.100000000000001" customHeight="1">
      <c r="A68" s="31"/>
      <c r="B68" s="38"/>
      <c r="C68" s="31"/>
      <c r="D68" s="43"/>
      <c r="F68" s="9"/>
      <c r="G68" s="8"/>
      <c r="K68" s="5"/>
    </row>
    <row r="69" spans="1:13" ht="20.100000000000001" customHeight="1">
      <c r="A69" s="161" t="s">
        <v>52</v>
      </c>
      <c r="B69" s="161"/>
      <c r="C69" s="161"/>
      <c r="D69" s="161"/>
      <c r="F69" s="9"/>
      <c r="G69" s="8"/>
      <c r="K69" s="5"/>
    </row>
    <row r="70" spans="1:13" ht="20.100000000000001" customHeight="1">
      <c r="A70" s="95">
        <v>3</v>
      </c>
      <c r="B70" s="50" t="s">
        <v>23</v>
      </c>
      <c r="C70" s="95" t="s">
        <v>38</v>
      </c>
      <c r="D70" s="95" t="s">
        <v>9</v>
      </c>
      <c r="F70" s="9"/>
      <c r="G70" s="8"/>
      <c r="K70" s="5"/>
    </row>
    <row r="71" spans="1:13" ht="20.100000000000001" customHeight="1">
      <c r="A71" s="95" t="s">
        <v>1</v>
      </c>
      <c r="B71" s="47" t="s">
        <v>53</v>
      </c>
      <c r="C71" s="55">
        <f>1/12*0.05</f>
        <v>4.1999999999999997E-3</v>
      </c>
      <c r="D71" s="49">
        <f>ROUND(($D$27+$D$94)*C71,2)</f>
        <v>11.29</v>
      </c>
      <c r="F71" s="188" t="s">
        <v>123</v>
      </c>
      <c r="G71" s="188"/>
      <c r="H71" s="188"/>
      <c r="I71" s="188"/>
      <c r="J71" s="188"/>
      <c r="K71" s="188"/>
    </row>
    <row r="72" spans="1:13" ht="20.100000000000001" customHeight="1">
      <c r="A72" s="95" t="s">
        <v>3</v>
      </c>
      <c r="B72" s="47" t="s">
        <v>54</v>
      </c>
      <c r="C72" s="56">
        <f>C71*C48</f>
        <v>3.3599999999999998E-4</v>
      </c>
      <c r="D72" s="49">
        <f>ROUND(($D$27+$D$94)*C72,2)</f>
        <v>0.9</v>
      </c>
      <c r="F72" s="188" t="s">
        <v>124</v>
      </c>
      <c r="G72" s="188"/>
      <c r="H72" s="188"/>
      <c r="K72" s="73"/>
    </row>
    <row r="73" spans="1:13" ht="19.5" customHeight="1">
      <c r="A73" s="95" t="s">
        <v>4</v>
      </c>
      <c r="B73" s="47" t="s">
        <v>108</v>
      </c>
      <c r="C73" s="55">
        <v>6.4999999999999997E-3</v>
      </c>
      <c r="D73" s="49">
        <f>ROUND($D$27*C73,2)</f>
        <v>17.48</v>
      </c>
      <c r="F73" s="188" t="s">
        <v>125</v>
      </c>
      <c r="G73" s="188"/>
      <c r="H73" s="188"/>
      <c r="I73" s="188"/>
      <c r="J73" s="188"/>
      <c r="K73" s="188"/>
    </row>
    <row r="74" spans="1:13" ht="20.100000000000001" customHeight="1">
      <c r="A74" s="95" t="s">
        <v>5</v>
      </c>
      <c r="B74" s="47" t="s">
        <v>97</v>
      </c>
      <c r="C74" s="55">
        <f>7/30/12</f>
        <v>1.9400000000000001E-2</v>
      </c>
      <c r="D74" s="49">
        <f>ROUND(($D$27+$D$94)*C74,2)</f>
        <v>52.17</v>
      </c>
      <c r="F74" s="188" t="s">
        <v>126</v>
      </c>
      <c r="G74" s="188"/>
      <c r="H74" s="188"/>
      <c r="I74" s="188"/>
      <c r="J74" s="188"/>
      <c r="K74" s="188"/>
    </row>
    <row r="75" spans="1:13" ht="32.25" customHeight="1">
      <c r="A75" s="95" t="s">
        <v>12</v>
      </c>
      <c r="B75" s="47" t="s">
        <v>55</v>
      </c>
      <c r="C75" s="55">
        <f>C74*C49</f>
        <v>7.0000000000000001E-3</v>
      </c>
      <c r="D75" s="49">
        <f>ROUND(($D$27+$D$94)*C75,2)</f>
        <v>18.82</v>
      </c>
      <c r="F75" s="188" t="s">
        <v>127</v>
      </c>
      <c r="G75" s="188"/>
      <c r="H75" s="188"/>
      <c r="K75" s="73"/>
    </row>
    <row r="76" spans="1:13" ht="21.75" customHeight="1">
      <c r="A76" s="95" t="s">
        <v>4</v>
      </c>
      <c r="B76" s="47" t="s">
        <v>109</v>
      </c>
      <c r="C76" s="55">
        <v>3.3500000000000002E-2</v>
      </c>
      <c r="D76" s="49">
        <f>ROUND($D$27*C76,2)</f>
        <v>90.08</v>
      </c>
      <c r="F76" s="188" t="s">
        <v>125</v>
      </c>
      <c r="G76" s="188"/>
      <c r="H76" s="188"/>
      <c r="K76" s="73"/>
    </row>
    <row r="77" spans="1:13" ht="20.100000000000001" customHeight="1">
      <c r="A77" s="159" t="s">
        <v>22</v>
      </c>
      <c r="B77" s="159"/>
      <c r="C77" s="57">
        <f>ROUND(SUM(C71:C76),4)</f>
        <v>7.0900000000000005E-2</v>
      </c>
      <c r="D77" s="54">
        <f>ROUND(SUM(D71:D76),2)</f>
        <v>190.74</v>
      </c>
      <c r="F77" s="9"/>
      <c r="G77" s="8"/>
      <c r="K77" s="5"/>
      <c r="M77" s="5"/>
    </row>
    <row r="78" spans="1:13" ht="20.100000000000001" customHeight="1">
      <c r="A78" s="99"/>
      <c r="B78" s="99"/>
      <c r="C78" s="99"/>
      <c r="D78" s="43"/>
      <c r="F78" s="9"/>
      <c r="G78" s="8"/>
      <c r="K78" s="5"/>
    </row>
    <row r="79" spans="1:13" ht="20.100000000000001" customHeight="1">
      <c r="A79" s="168" t="s">
        <v>56</v>
      </c>
      <c r="B79" s="168"/>
      <c r="C79" s="168"/>
      <c r="D79" s="168"/>
      <c r="F79" s="9"/>
      <c r="G79" s="8"/>
      <c r="K79" s="5"/>
      <c r="L79" s="3"/>
    </row>
    <row r="80" spans="1:13" ht="20.100000000000001" customHeight="1">
      <c r="A80" s="99"/>
      <c r="B80" s="99"/>
      <c r="C80" s="99"/>
      <c r="D80" s="99"/>
      <c r="K80" s="6"/>
    </row>
    <row r="81" spans="1:13" ht="20.100000000000001" customHeight="1">
      <c r="A81" s="161" t="s">
        <v>57</v>
      </c>
      <c r="B81" s="161"/>
      <c r="C81" s="161"/>
      <c r="D81" s="161"/>
      <c r="K81" s="6"/>
    </row>
    <row r="82" spans="1:13" ht="20.100000000000001" customHeight="1">
      <c r="A82" s="95" t="s">
        <v>20</v>
      </c>
      <c r="B82" s="50" t="s">
        <v>58</v>
      </c>
      <c r="C82" s="95" t="s">
        <v>38</v>
      </c>
      <c r="D82" s="95" t="s">
        <v>9</v>
      </c>
      <c r="F82" s="2"/>
      <c r="G82" s="2"/>
      <c r="K82" s="6"/>
    </row>
    <row r="83" spans="1:13" ht="20.100000000000001" customHeight="1">
      <c r="A83" s="95" t="s">
        <v>1</v>
      </c>
      <c r="B83" s="47" t="s">
        <v>59</v>
      </c>
      <c r="C83" s="55">
        <f>1/12</f>
        <v>8.3299999999999999E-2</v>
      </c>
      <c r="D83" s="49">
        <f t="shared" ref="D83:D89" si="1">ROUND(($D$27+$D$67+$D$77)*C83,2)</f>
        <v>423.87</v>
      </c>
      <c r="F83" s="186" t="s">
        <v>128</v>
      </c>
      <c r="G83" s="186"/>
      <c r="H83" s="186"/>
      <c r="I83" s="77"/>
      <c r="J83" s="77"/>
      <c r="K83" s="78"/>
    </row>
    <row r="84" spans="1:13" ht="20.100000000000001" customHeight="1">
      <c r="A84" s="95" t="s">
        <v>3</v>
      </c>
      <c r="B84" s="47" t="s">
        <v>58</v>
      </c>
      <c r="C84" s="55">
        <f>0.05/365</f>
        <v>1E-4</v>
      </c>
      <c r="D84" s="49">
        <f t="shared" si="1"/>
        <v>0.51</v>
      </c>
      <c r="E84" s="4"/>
      <c r="F84" s="186" t="s">
        <v>129</v>
      </c>
      <c r="G84" s="186"/>
      <c r="H84" s="186"/>
      <c r="I84" s="77"/>
      <c r="J84" s="77"/>
      <c r="K84" s="77"/>
    </row>
    <row r="85" spans="1:13" ht="27" customHeight="1">
      <c r="A85" s="95" t="s">
        <v>4</v>
      </c>
      <c r="B85" s="47" t="s">
        <v>110</v>
      </c>
      <c r="C85" s="55">
        <f>5/30/12*0.005</f>
        <v>1E-4</v>
      </c>
      <c r="D85" s="49">
        <f t="shared" si="1"/>
        <v>0.51</v>
      </c>
      <c r="F85" s="186" t="s">
        <v>139</v>
      </c>
      <c r="G85" s="186"/>
      <c r="H85" s="186"/>
      <c r="I85" s="186"/>
      <c r="J85" s="186"/>
      <c r="K85" s="186"/>
    </row>
    <row r="86" spans="1:13" ht="20.100000000000001" customHeight="1">
      <c r="A86" s="95" t="s">
        <v>5</v>
      </c>
      <c r="B86" s="47" t="s">
        <v>28</v>
      </c>
      <c r="C86" s="55">
        <f>15/30/12*0.003</f>
        <v>1E-4</v>
      </c>
      <c r="D86" s="49">
        <f t="shared" si="1"/>
        <v>0.51</v>
      </c>
      <c r="F86" s="186" t="s">
        <v>130</v>
      </c>
      <c r="G86" s="186"/>
      <c r="H86" s="186"/>
      <c r="I86" s="186"/>
      <c r="J86" s="186"/>
      <c r="K86" s="186"/>
    </row>
    <row r="87" spans="1:13" ht="22.5" customHeight="1">
      <c r="A87" s="95" t="s">
        <v>12</v>
      </c>
      <c r="B87" s="47" t="s">
        <v>111</v>
      </c>
      <c r="C87" s="55">
        <f>0.005*(4/12)/12</f>
        <v>1E-4</v>
      </c>
      <c r="D87" s="49">
        <f t="shared" si="1"/>
        <v>0.51</v>
      </c>
      <c r="F87" s="186" t="s">
        <v>140</v>
      </c>
      <c r="G87" s="186"/>
      <c r="H87" s="186"/>
      <c r="I87" s="186"/>
      <c r="J87" s="186"/>
      <c r="K87" s="186"/>
    </row>
    <row r="88" spans="1:13" ht="20.100000000000001" customHeight="1">
      <c r="A88" s="95" t="s">
        <v>13</v>
      </c>
      <c r="B88" s="47" t="s">
        <v>85</v>
      </c>
      <c r="C88" s="55">
        <f>0.05/365</f>
        <v>1E-4</v>
      </c>
      <c r="D88" s="49">
        <f t="shared" si="1"/>
        <v>0.51</v>
      </c>
      <c r="E88" s="5"/>
      <c r="F88" s="186" t="s">
        <v>131</v>
      </c>
      <c r="G88" s="186"/>
      <c r="H88" s="186"/>
      <c r="I88" s="77"/>
      <c r="J88" s="77"/>
      <c r="K88" s="77"/>
    </row>
    <row r="89" spans="1:13" ht="20.100000000000001" customHeight="1">
      <c r="A89" s="95" t="s">
        <v>14</v>
      </c>
      <c r="B89" s="47" t="s">
        <v>84</v>
      </c>
      <c r="C89" s="55"/>
      <c r="D89" s="49">
        <f t="shared" si="1"/>
        <v>0</v>
      </c>
      <c r="E89" s="5"/>
      <c r="F89" s="189" t="s">
        <v>162</v>
      </c>
      <c r="G89" s="189"/>
      <c r="H89" s="189"/>
      <c r="I89" s="189"/>
      <c r="J89" s="189"/>
      <c r="K89" s="189"/>
    </row>
    <row r="90" spans="1:13" ht="20.100000000000001" customHeight="1">
      <c r="A90" s="159" t="s">
        <v>22</v>
      </c>
      <c r="B90" s="159"/>
      <c r="C90" s="51">
        <f>ROUND(SUM(C83:C89),4)</f>
        <v>8.3799999999999999E-2</v>
      </c>
      <c r="D90" s="42">
        <f>ROUND(SUM(D83:D89),2)</f>
        <v>426.42</v>
      </c>
      <c r="F90" s="74"/>
      <c r="M90" s="5"/>
    </row>
    <row r="91" spans="1:13" ht="20.100000000000001" customHeight="1">
      <c r="A91" s="99"/>
      <c r="B91" s="99"/>
      <c r="C91" s="32"/>
      <c r="D91" s="43"/>
      <c r="F91" s="13"/>
      <c r="M91" s="13"/>
    </row>
    <row r="92" spans="1:13" ht="20.100000000000001" customHeight="1">
      <c r="A92" s="161" t="s">
        <v>60</v>
      </c>
      <c r="B92" s="161"/>
      <c r="C92" s="161"/>
      <c r="D92" s="161"/>
    </row>
    <row r="93" spans="1:13" ht="20.100000000000001" customHeight="1">
      <c r="A93" s="95" t="s">
        <v>21</v>
      </c>
      <c r="B93" s="50" t="s">
        <v>61</v>
      </c>
      <c r="C93" s="95" t="s">
        <v>38</v>
      </c>
      <c r="D93" s="95" t="s">
        <v>9</v>
      </c>
      <c r="E93" s="3"/>
    </row>
    <row r="94" spans="1:13" ht="20.100000000000001" customHeight="1">
      <c r="A94" s="95" t="s">
        <v>1</v>
      </c>
      <c r="B94" s="47" t="s">
        <v>62</v>
      </c>
      <c r="C94" s="55">
        <f>D94/D27</f>
        <v>0</v>
      </c>
      <c r="D94" s="41">
        <v>0</v>
      </c>
      <c r="E94" s="7"/>
    </row>
    <row r="95" spans="1:13" ht="20.100000000000001" customHeight="1">
      <c r="A95" s="164" t="s">
        <v>22</v>
      </c>
      <c r="B95" s="165"/>
      <c r="C95" s="166"/>
      <c r="D95" s="41">
        <f>ROUND(D94,2)</f>
        <v>0</v>
      </c>
    </row>
    <row r="96" spans="1:13" ht="20.100000000000001" customHeight="1">
      <c r="A96" s="31"/>
      <c r="B96" s="38"/>
      <c r="C96" s="31"/>
      <c r="D96" s="43"/>
    </row>
    <row r="97" spans="1:5" ht="20.100000000000001" customHeight="1">
      <c r="A97" s="161" t="s">
        <v>63</v>
      </c>
      <c r="B97" s="161"/>
      <c r="C97" s="161"/>
      <c r="D97" s="161"/>
    </row>
    <row r="98" spans="1:5" ht="20.100000000000001" customHeight="1">
      <c r="A98" s="95">
        <v>4</v>
      </c>
      <c r="B98" s="159" t="s">
        <v>64</v>
      </c>
      <c r="C98" s="159"/>
      <c r="D98" s="95" t="s">
        <v>9</v>
      </c>
    </row>
    <row r="99" spans="1:5" ht="20.100000000000001" customHeight="1">
      <c r="A99" s="52" t="s">
        <v>20</v>
      </c>
      <c r="B99" s="155" t="s">
        <v>58</v>
      </c>
      <c r="C99" s="155"/>
      <c r="D99" s="49">
        <f>ROUND(D90,2)</f>
        <v>426.42</v>
      </c>
    </row>
    <row r="100" spans="1:5" ht="20.100000000000001" customHeight="1">
      <c r="A100" s="52" t="s">
        <v>21</v>
      </c>
      <c r="B100" s="155" t="s">
        <v>61</v>
      </c>
      <c r="C100" s="155"/>
      <c r="D100" s="49">
        <f>ROUND(D95,2)</f>
        <v>0</v>
      </c>
    </row>
    <row r="101" spans="1:5" ht="20.100000000000001" customHeight="1">
      <c r="A101" s="159" t="s">
        <v>22</v>
      </c>
      <c r="B101" s="159"/>
      <c r="C101" s="159"/>
      <c r="D101" s="42">
        <f>ROUND(SUM(D99:D100),2)</f>
        <v>426.42</v>
      </c>
    </row>
    <row r="102" spans="1:5" ht="20.100000000000001" customHeight="1">
      <c r="A102" s="31"/>
      <c r="B102" s="38"/>
      <c r="C102" s="31"/>
      <c r="D102" s="43"/>
      <c r="E102" s="5"/>
    </row>
    <row r="103" spans="1:5" ht="20.100000000000001" customHeight="1">
      <c r="A103" s="158" t="s">
        <v>65</v>
      </c>
      <c r="B103" s="158"/>
      <c r="C103" s="158"/>
      <c r="D103" s="158"/>
    </row>
    <row r="104" spans="1:5" ht="20.100000000000001" customHeight="1">
      <c r="A104" s="96">
        <v>5</v>
      </c>
      <c r="B104" s="158" t="s">
        <v>103</v>
      </c>
      <c r="C104" s="158"/>
      <c r="D104" s="96" t="s">
        <v>9</v>
      </c>
    </row>
    <row r="105" spans="1:5" ht="20.100000000000001" customHeight="1">
      <c r="A105" s="96" t="s">
        <v>1</v>
      </c>
      <c r="B105" s="163" t="s">
        <v>89</v>
      </c>
      <c r="C105" s="163"/>
      <c r="D105" s="41">
        <f>VLOOKUP(A14,'Entrada de dados'!A2:N10,9,FALSE)</f>
        <v>43.67</v>
      </c>
    </row>
    <row r="106" spans="1:5" ht="20.100000000000001" customHeight="1">
      <c r="A106" s="96" t="s">
        <v>3</v>
      </c>
      <c r="B106" s="163" t="s">
        <v>321</v>
      </c>
      <c r="C106" s="163"/>
      <c r="D106" s="41">
        <f>VLOOKUP(A14,'Entrada de dados'!A2:N10,10,FALSE)</f>
        <v>0</v>
      </c>
    </row>
    <row r="107" spans="1:5" ht="20.100000000000001" customHeight="1">
      <c r="A107" s="96" t="s">
        <v>3</v>
      </c>
      <c r="B107" s="163" t="s">
        <v>83</v>
      </c>
      <c r="C107" s="163"/>
      <c r="D107" s="41">
        <f>VLOOKUP(A14,'Entrada de dados'!A2:N10,11,FALSE)</f>
        <v>0</v>
      </c>
    </row>
    <row r="108" spans="1:5" ht="20.100000000000001" customHeight="1">
      <c r="A108" s="96" t="s">
        <v>3</v>
      </c>
      <c r="B108" s="163" t="s">
        <v>322</v>
      </c>
      <c r="C108" s="163"/>
      <c r="D108" s="41">
        <f>VLOOKUP(A14,'Entrada de dados'!A2:N10,12,FALSE)</f>
        <v>0</v>
      </c>
    </row>
    <row r="109" spans="1:5" ht="20.100000000000001" customHeight="1">
      <c r="A109" s="96" t="s">
        <v>3</v>
      </c>
      <c r="B109" s="163" t="s">
        <v>141</v>
      </c>
      <c r="C109" s="163"/>
      <c r="D109" s="41">
        <f>VLOOKUP(A14,'Entrada de dados'!A2:N10,13,FALSE)</f>
        <v>18.78</v>
      </c>
    </row>
    <row r="110" spans="1:5" ht="20.100000000000001" customHeight="1">
      <c r="A110" s="58" t="s">
        <v>4</v>
      </c>
      <c r="B110" s="163" t="s">
        <v>323</v>
      </c>
      <c r="C110" s="163"/>
      <c r="D110" s="41">
        <f>VLOOKUP(A14,'Entrada de dados'!A2:N10,14,FALSE)</f>
        <v>25.67</v>
      </c>
    </row>
    <row r="111" spans="1:5" ht="20.100000000000001" customHeight="1">
      <c r="A111" s="58" t="s">
        <v>5</v>
      </c>
      <c r="B111" s="163" t="s">
        <v>324</v>
      </c>
      <c r="C111" s="163"/>
      <c r="D111" s="41">
        <v>0</v>
      </c>
    </row>
    <row r="112" spans="1:5" ht="20.100000000000001" customHeight="1">
      <c r="A112" s="158" t="s">
        <v>19</v>
      </c>
      <c r="B112" s="158"/>
      <c r="C112" s="158"/>
      <c r="D112" s="54">
        <f>ROUND(SUM(D105:D111),2)</f>
        <v>88.12</v>
      </c>
    </row>
    <row r="113" spans="1:8" ht="20.100000000000001" customHeight="1">
      <c r="A113" s="167"/>
      <c r="B113" s="167"/>
      <c r="C113" s="167"/>
      <c r="D113" s="32"/>
    </row>
    <row r="114" spans="1:8" ht="20.100000000000001" customHeight="1">
      <c r="A114" s="158" t="s">
        <v>79</v>
      </c>
      <c r="B114" s="158"/>
      <c r="C114" s="158"/>
      <c r="D114" s="158"/>
    </row>
    <row r="115" spans="1:8" ht="20.100000000000001" customHeight="1">
      <c r="A115" s="95">
        <v>6</v>
      </c>
      <c r="B115" s="50" t="s">
        <v>24</v>
      </c>
      <c r="C115" s="95" t="s">
        <v>38</v>
      </c>
      <c r="D115" s="95" t="s">
        <v>9</v>
      </c>
    </row>
    <row r="116" spans="1:8" ht="20.100000000000001" customHeight="1">
      <c r="A116" s="95" t="s">
        <v>1</v>
      </c>
      <c r="B116" s="47" t="s">
        <v>25</v>
      </c>
      <c r="C116" s="59">
        <v>1E-3</v>
      </c>
      <c r="D116" s="41">
        <f>D132*C116</f>
        <v>5.6</v>
      </c>
    </row>
    <row r="117" spans="1:8" ht="20.100000000000001" customHeight="1">
      <c r="A117" s="95" t="s">
        <v>3</v>
      </c>
      <c r="B117" s="47" t="s">
        <v>66</v>
      </c>
      <c r="C117" s="59">
        <f>'1'!C117</f>
        <v>7.7999999999999996E-3</v>
      </c>
      <c r="D117" s="41">
        <f>(D132+D116)*C117</f>
        <v>43.75</v>
      </c>
      <c r="E117" s="126"/>
    </row>
    <row r="118" spans="1:8" ht="20.100000000000001" customHeight="1">
      <c r="A118" s="95" t="s">
        <v>4</v>
      </c>
      <c r="B118" s="47" t="s">
        <v>67</v>
      </c>
      <c r="C118" s="60"/>
      <c r="D118" s="41"/>
    </row>
    <row r="119" spans="1:8" ht="20.100000000000001" customHeight="1">
      <c r="A119" s="95"/>
      <c r="B119" s="47" t="s">
        <v>88</v>
      </c>
      <c r="C119" s="61">
        <v>6.4999999999999997E-3</v>
      </c>
      <c r="D119" s="41">
        <f>ROUND((D132+D116+D117)/(1-$C$122)*C119,2)</f>
        <v>40.22</v>
      </c>
      <c r="F119" s="187"/>
    </row>
    <row r="120" spans="1:8" ht="20.100000000000001" customHeight="1">
      <c r="A120" s="95"/>
      <c r="B120" s="47" t="s">
        <v>87</v>
      </c>
      <c r="C120" s="61">
        <v>0.03</v>
      </c>
      <c r="D120" s="41">
        <f>ROUND((D132+D116+D117)/(1-$C$122)*C120,2)</f>
        <v>185.63</v>
      </c>
      <c r="F120" s="187"/>
    </row>
    <row r="121" spans="1:8" ht="20.100000000000001" customHeight="1">
      <c r="A121" s="52"/>
      <c r="B121" s="47" t="s">
        <v>86</v>
      </c>
      <c r="C121" s="61">
        <v>0.05</v>
      </c>
      <c r="D121" s="41">
        <f>ROUND((D132+D116+D117)/(1-$C$122)*C121,2)</f>
        <v>309.38</v>
      </c>
      <c r="F121" s="70" t="s">
        <v>165</v>
      </c>
      <c r="G121" s="70"/>
      <c r="H121" s="70"/>
    </row>
    <row r="122" spans="1:8" ht="20.100000000000001" customHeight="1">
      <c r="A122" s="95"/>
      <c r="B122" s="62" t="s">
        <v>80</v>
      </c>
      <c r="C122" s="60">
        <f>SUM(C119:C121)</f>
        <v>8.6499999999999994E-2</v>
      </c>
      <c r="D122" s="42">
        <f>ROUND(SUM(D119:D121),2)</f>
        <v>535.23</v>
      </c>
    </row>
    <row r="123" spans="1:8" ht="20.100000000000001" customHeight="1">
      <c r="A123" s="164" t="s">
        <v>81</v>
      </c>
      <c r="B123" s="165"/>
      <c r="C123" s="166"/>
      <c r="D123" s="42">
        <f>ROUND(D122+D116+D117,2)</f>
        <v>584.58000000000004</v>
      </c>
    </row>
    <row r="124" spans="1:8" ht="20.100000000000001" customHeight="1">
      <c r="A124" s="63"/>
      <c r="B124" s="32"/>
      <c r="C124" s="32"/>
      <c r="D124" s="32"/>
    </row>
    <row r="125" spans="1:8" ht="20.100000000000001" customHeight="1">
      <c r="A125" s="161" t="s">
        <v>68</v>
      </c>
      <c r="B125" s="161"/>
      <c r="C125" s="161"/>
      <c r="D125" s="161"/>
    </row>
    <row r="126" spans="1:8" ht="20.100000000000001" customHeight="1">
      <c r="A126" s="52"/>
      <c r="B126" s="159" t="s">
        <v>69</v>
      </c>
      <c r="C126" s="159"/>
      <c r="D126" s="95" t="s">
        <v>9</v>
      </c>
    </row>
    <row r="127" spans="1:8" ht="20.100000000000001" customHeight="1">
      <c r="A127" s="95" t="s">
        <v>1</v>
      </c>
      <c r="B127" s="155" t="s">
        <v>26</v>
      </c>
      <c r="C127" s="155"/>
      <c r="D127" s="64">
        <f>ROUND(D27,2)</f>
        <v>2689</v>
      </c>
      <c r="F127" s="27" t="s">
        <v>132</v>
      </c>
    </row>
    <row r="128" spans="1:8" ht="25.5">
      <c r="A128" s="95" t="s">
        <v>3</v>
      </c>
      <c r="B128" s="155" t="s">
        <v>70</v>
      </c>
      <c r="C128" s="155"/>
      <c r="D128" s="65">
        <f>ROUND(D67,2)</f>
        <v>2208.7399999999998</v>
      </c>
      <c r="F128" s="27" t="s">
        <v>133</v>
      </c>
      <c r="G128" s="2"/>
    </row>
    <row r="129" spans="1:7" ht="25.5">
      <c r="A129" s="95" t="s">
        <v>4</v>
      </c>
      <c r="B129" s="155" t="s">
        <v>52</v>
      </c>
      <c r="C129" s="155"/>
      <c r="D129" s="64">
        <f>ROUND(D77,2)</f>
        <v>190.74</v>
      </c>
      <c r="F129" s="27" t="s">
        <v>134</v>
      </c>
    </row>
    <row r="130" spans="1:7" ht="25.5">
      <c r="A130" s="95" t="s">
        <v>5</v>
      </c>
      <c r="B130" s="155" t="s">
        <v>56</v>
      </c>
      <c r="C130" s="155"/>
      <c r="D130" s="64">
        <f>ROUND(D101,2)</f>
        <v>426.42</v>
      </c>
      <c r="F130" s="27" t="s">
        <v>135</v>
      </c>
    </row>
    <row r="131" spans="1:7" ht="25.5">
      <c r="A131" s="95" t="s">
        <v>12</v>
      </c>
      <c r="B131" s="155" t="s">
        <v>71</v>
      </c>
      <c r="C131" s="155"/>
      <c r="D131" s="64">
        <f>ROUND(D112,2)</f>
        <v>88.12</v>
      </c>
      <c r="F131" s="27" t="s">
        <v>136</v>
      </c>
    </row>
    <row r="132" spans="1:7" ht="25.5">
      <c r="A132" s="159" t="s">
        <v>72</v>
      </c>
      <c r="B132" s="159"/>
      <c r="C132" s="159"/>
      <c r="D132" s="64">
        <f>ROUND(SUM(D127:D131),2)</f>
        <v>5603.02</v>
      </c>
      <c r="F132" s="27" t="s">
        <v>137</v>
      </c>
    </row>
    <row r="133" spans="1:7" ht="20.100000000000001" customHeight="1">
      <c r="A133" s="95" t="s">
        <v>13</v>
      </c>
      <c r="B133" s="155" t="s">
        <v>73</v>
      </c>
      <c r="C133" s="155"/>
      <c r="D133" s="64">
        <f>ROUND(D123,2)</f>
        <v>584.58000000000004</v>
      </c>
    </row>
    <row r="134" spans="1:7" ht="20.100000000000001" customHeight="1">
      <c r="A134" s="159" t="s">
        <v>82</v>
      </c>
      <c r="B134" s="159"/>
      <c r="C134" s="159"/>
      <c r="D134" s="64">
        <f>ROUND(D132+D133,2)</f>
        <v>6187.6</v>
      </c>
    </row>
    <row r="135" spans="1:7" ht="20.100000000000001" customHeight="1">
      <c r="A135" s="63"/>
      <c r="B135" s="32"/>
      <c r="C135" s="32"/>
      <c r="D135" s="32"/>
    </row>
    <row r="136" spans="1:7" ht="20.100000000000001" customHeight="1">
      <c r="A136" s="161" t="s">
        <v>74</v>
      </c>
      <c r="B136" s="161"/>
      <c r="C136" s="161"/>
      <c r="D136" s="161"/>
    </row>
    <row r="137" spans="1:7" ht="20.100000000000001" customHeight="1">
      <c r="A137" s="159" t="s">
        <v>75</v>
      </c>
      <c r="B137" s="159"/>
      <c r="C137" s="159"/>
      <c r="D137" s="159"/>
    </row>
    <row r="138" spans="1:7" ht="20.100000000000001" customHeight="1">
      <c r="A138" s="52"/>
      <c r="B138" s="159" t="s">
        <v>76</v>
      </c>
      <c r="C138" s="159"/>
      <c r="D138" s="95" t="s">
        <v>77</v>
      </c>
    </row>
    <row r="139" spans="1:7" ht="20.100000000000001" customHeight="1">
      <c r="A139" s="95" t="s">
        <v>1</v>
      </c>
      <c r="B139" s="155" t="s">
        <v>143</v>
      </c>
      <c r="C139" s="155"/>
      <c r="D139" s="66">
        <f>D134</f>
        <v>6187.6</v>
      </c>
      <c r="G139" s="9"/>
    </row>
    <row r="140" spans="1:7" ht="20.100000000000001" customHeight="1">
      <c r="A140" s="95" t="s">
        <v>3</v>
      </c>
      <c r="B140" s="155" t="s">
        <v>96</v>
      </c>
      <c r="C140" s="155"/>
      <c r="D140" s="67">
        <f>D14</f>
        <v>3</v>
      </c>
    </row>
    <row r="141" spans="1:7" ht="20.100000000000001" customHeight="1">
      <c r="A141" s="95" t="s">
        <v>4</v>
      </c>
      <c r="B141" s="155" t="s">
        <v>144</v>
      </c>
      <c r="C141" s="155"/>
      <c r="D141" s="68">
        <f>D139*D140</f>
        <v>18562.8</v>
      </c>
    </row>
    <row r="142" spans="1:7" ht="30.75" customHeight="1">
      <c r="A142" s="95" t="s">
        <v>5</v>
      </c>
      <c r="B142" s="155" t="s">
        <v>78</v>
      </c>
      <c r="C142" s="155"/>
      <c r="D142" s="69">
        <f>D141*30</f>
        <v>556884</v>
      </c>
    </row>
    <row r="144" spans="1:7">
      <c r="A144" s="162"/>
      <c r="B144" s="162"/>
      <c r="C144" s="162"/>
      <c r="D144" s="162"/>
    </row>
    <row r="148" spans="1:4">
      <c r="A148" s="162"/>
      <c r="B148" s="162"/>
      <c r="C148" s="162"/>
      <c r="D148" s="162"/>
    </row>
    <row r="149" spans="1:4">
      <c r="A149" s="162"/>
      <c r="B149" s="162"/>
      <c r="C149" s="162"/>
      <c r="D149" s="162"/>
    </row>
    <row r="150" spans="1:4">
      <c r="A150" s="162"/>
      <c r="B150" s="162"/>
      <c r="C150" s="162"/>
      <c r="D150" s="162"/>
    </row>
    <row r="151" spans="1:4">
      <c r="A151" s="162"/>
      <c r="B151" s="162"/>
      <c r="C151" s="162"/>
      <c r="D151" s="162"/>
    </row>
  </sheetData>
  <mergeCells count="108">
    <mergeCell ref="A144:D144"/>
    <mergeCell ref="A148:D148"/>
    <mergeCell ref="A149:D149"/>
    <mergeCell ref="A150:D150"/>
    <mergeCell ref="A151:D151"/>
    <mergeCell ref="A137:D137"/>
    <mergeCell ref="B138:C138"/>
    <mergeCell ref="B139:C139"/>
    <mergeCell ref="B140:C140"/>
    <mergeCell ref="B141:C141"/>
    <mergeCell ref="B142:C142"/>
    <mergeCell ref="B130:C130"/>
    <mergeCell ref="B131:C131"/>
    <mergeCell ref="A132:C132"/>
    <mergeCell ref="B133:C133"/>
    <mergeCell ref="A134:C134"/>
    <mergeCell ref="A136:D136"/>
    <mergeCell ref="A123:C123"/>
    <mergeCell ref="A125:D125"/>
    <mergeCell ref="B126:C126"/>
    <mergeCell ref="B127:C127"/>
    <mergeCell ref="B128:C128"/>
    <mergeCell ref="B129:C129"/>
    <mergeCell ref="B110:C110"/>
    <mergeCell ref="B111:C111"/>
    <mergeCell ref="A112:C112"/>
    <mergeCell ref="A113:C113"/>
    <mergeCell ref="A114:D114"/>
    <mergeCell ref="F119:F120"/>
    <mergeCell ref="B104:C104"/>
    <mergeCell ref="B105:C105"/>
    <mergeCell ref="B106:C106"/>
    <mergeCell ref="B107:C107"/>
    <mergeCell ref="B108:C108"/>
    <mergeCell ref="B109:C109"/>
    <mergeCell ref="A97:D97"/>
    <mergeCell ref="B98:C98"/>
    <mergeCell ref="B99:C99"/>
    <mergeCell ref="B100:C100"/>
    <mergeCell ref="A101:C101"/>
    <mergeCell ref="A103:D103"/>
    <mergeCell ref="F87:K87"/>
    <mergeCell ref="F88:H88"/>
    <mergeCell ref="F89:K89"/>
    <mergeCell ref="A90:B90"/>
    <mergeCell ref="A92:D92"/>
    <mergeCell ref="A95:C95"/>
    <mergeCell ref="A79:D79"/>
    <mergeCell ref="A81:D81"/>
    <mergeCell ref="F83:H83"/>
    <mergeCell ref="F84:H84"/>
    <mergeCell ref="F85:K85"/>
    <mergeCell ref="F86:K86"/>
    <mergeCell ref="F72:H72"/>
    <mergeCell ref="F73:K73"/>
    <mergeCell ref="F74:K74"/>
    <mergeCell ref="F75:H75"/>
    <mergeCell ref="F76:H76"/>
    <mergeCell ref="A77:B77"/>
    <mergeCell ref="B64:C64"/>
    <mergeCell ref="B65:C65"/>
    <mergeCell ref="B66:C66"/>
    <mergeCell ref="A67:C67"/>
    <mergeCell ref="A69:D69"/>
    <mergeCell ref="F71:K71"/>
    <mergeCell ref="B57:C57"/>
    <mergeCell ref="B58:C58"/>
    <mergeCell ref="B59:C59"/>
    <mergeCell ref="A60:C60"/>
    <mergeCell ref="A62:D62"/>
    <mergeCell ref="B63:C63"/>
    <mergeCell ref="A51:D51"/>
    <mergeCell ref="B52:C52"/>
    <mergeCell ref="B53:C53"/>
    <mergeCell ref="B54:C54"/>
    <mergeCell ref="B55:C55"/>
    <mergeCell ref="B56:C56"/>
    <mergeCell ref="A27:C27"/>
    <mergeCell ref="A29:D29"/>
    <mergeCell ref="A31:D31"/>
    <mergeCell ref="A37:B37"/>
    <mergeCell ref="A39:D39"/>
    <mergeCell ref="A49:B49"/>
    <mergeCell ref="B21:C21"/>
    <mergeCell ref="B22:C22"/>
    <mergeCell ref="B23:C23"/>
    <mergeCell ref="B24:C24"/>
    <mergeCell ref="B25:C25"/>
    <mergeCell ref="B26:C26"/>
    <mergeCell ref="D14:D15"/>
    <mergeCell ref="A16:C16"/>
    <mergeCell ref="A17:C17"/>
    <mergeCell ref="A18:C18"/>
    <mergeCell ref="A19:D19"/>
    <mergeCell ref="B20:C20"/>
    <mergeCell ref="B8:C8"/>
    <mergeCell ref="B9:C9"/>
    <mergeCell ref="B10:C10"/>
    <mergeCell ref="B11:C11"/>
    <mergeCell ref="A13:B13"/>
    <mergeCell ref="A14:B15"/>
    <mergeCell ref="C14:C15"/>
    <mergeCell ref="A1:D1"/>
    <mergeCell ref="A2:D2"/>
    <mergeCell ref="A3:D3"/>
    <mergeCell ref="A4:D4"/>
    <mergeCell ref="B5:D5"/>
    <mergeCell ref="A7:D7"/>
  </mergeCells>
  <printOptions horizontalCentered="1"/>
  <pageMargins left="0.39370078740157483" right="0.39370078740157483" top="1.9685039370078741" bottom="0.78740157480314965" header="0" footer="0"/>
  <pageSetup paperSize="9" scale="80" fitToHeight="0" orientation="portrait" r:id="rId1"/>
  <rowBreaks count="1" manualBreakCount="1">
    <brk id="67" max="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1"/>
  <sheetViews>
    <sheetView topLeftCell="A10" zoomScale="70" zoomScaleNormal="70" zoomScaleSheetLayoutView="110" workbookViewId="0">
      <selection activeCell="D143" sqref="D143"/>
    </sheetView>
  </sheetViews>
  <sheetFormatPr defaultColWidth="9.140625" defaultRowHeight="12.75"/>
  <cols>
    <col min="1" max="1" width="6" style="100" customWidth="1"/>
    <col min="2" max="2" width="62.7109375" style="1" customWidth="1"/>
    <col min="3" max="3" width="18.5703125" style="1" customWidth="1"/>
    <col min="4" max="4" width="30.7109375" style="1" customWidth="1"/>
    <col min="5" max="5" width="17.42578125" style="1" customWidth="1"/>
    <col min="6" max="6" width="102.42578125" style="1" customWidth="1"/>
    <col min="7" max="7" width="10.5703125" style="1" customWidth="1"/>
    <col min="8" max="8" width="43.85546875" style="1" customWidth="1"/>
    <col min="9" max="10" width="9.140625" style="1"/>
    <col min="11" max="11" width="11" style="1" customWidth="1"/>
    <col min="12" max="16384" width="9.140625" style="1"/>
  </cols>
  <sheetData>
    <row r="1" spans="1:4">
      <c r="A1" s="173" t="s">
        <v>93</v>
      </c>
      <c r="B1" s="173"/>
      <c r="C1" s="173"/>
      <c r="D1" s="173"/>
    </row>
    <row r="2" spans="1:4" ht="4.5" customHeight="1">
      <c r="A2" s="173"/>
      <c r="B2" s="173"/>
      <c r="C2" s="173"/>
      <c r="D2" s="173"/>
    </row>
    <row r="3" spans="1:4" ht="20.100000000000001" customHeight="1">
      <c r="A3" s="181" t="s">
        <v>315</v>
      </c>
      <c r="B3" s="179"/>
      <c r="C3" s="179"/>
      <c r="D3" s="180"/>
    </row>
    <row r="4" spans="1:4" ht="20.100000000000001" customHeight="1">
      <c r="A4" s="181" t="s">
        <v>316</v>
      </c>
      <c r="B4" s="179"/>
      <c r="C4" s="179"/>
      <c r="D4" s="180"/>
    </row>
    <row r="5" spans="1:4" ht="20.100000000000001" customHeight="1">
      <c r="A5" s="28"/>
      <c r="B5" s="178"/>
      <c r="C5" s="179"/>
      <c r="D5" s="180"/>
    </row>
    <row r="6" spans="1:4" ht="20.100000000000001" customHeight="1">
      <c r="A6" s="29"/>
      <c r="B6" s="30"/>
      <c r="C6" s="31"/>
      <c r="D6" s="32"/>
    </row>
    <row r="7" spans="1:4" ht="20.100000000000001" customHeight="1">
      <c r="A7" s="174" t="s">
        <v>0</v>
      </c>
      <c r="B7" s="175"/>
      <c r="C7" s="175"/>
      <c r="D7" s="176"/>
    </row>
    <row r="8" spans="1:4" ht="20.100000000000001" customHeight="1">
      <c r="A8" s="96" t="s">
        <v>1</v>
      </c>
      <c r="B8" s="177" t="s">
        <v>2</v>
      </c>
      <c r="C8" s="177"/>
      <c r="D8" s="34">
        <v>45783</v>
      </c>
    </row>
    <row r="9" spans="1:4" ht="30" customHeight="1">
      <c r="A9" s="96" t="s">
        <v>3</v>
      </c>
      <c r="B9" s="177" t="s">
        <v>159</v>
      </c>
      <c r="C9" s="177"/>
      <c r="D9" s="94" t="s">
        <v>317</v>
      </c>
    </row>
    <row r="10" spans="1:4" ht="20.100000000000001" customHeight="1">
      <c r="A10" s="96" t="s">
        <v>4</v>
      </c>
      <c r="B10" s="177" t="s">
        <v>142</v>
      </c>
      <c r="C10" s="177"/>
      <c r="D10" s="36" t="str">
        <f>VLOOKUP(A14,'Entrada de dados'!$A$1:$N$8,2,FALSE)</f>
        <v>PR000074/2025</v>
      </c>
    </row>
    <row r="11" spans="1:4" ht="20.100000000000001" customHeight="1">
      <c r="A11" s="96" t="s">
        <v>5</v>
      </c>
      <c r="B11" s="177" t="s">
        <v>6</v>
      </c>
      <c r="C11" s="177"/>
      <c r="D11" s="37">
        <v>30</v>
      </c>
    </row>
    <row r="12" spans="1:4" ht="20.100000000000001" customHeight="1">
      <c r="A12" s="31"/>
      <c r="B12" s="38"/>
      <c r="C12" s="31"/>
      <c r="D12" s="32"/>
    </row>
    <row r="13" spans="1:4" ht="27" customHeight="1">
      <c r="A13" s="156" t="s">
        <v>91</v>
      </c>
      <c r="B13" s="156"/>
      <c r="C13" s="94" t="s">
        <v>90</v>
      </c>
      <c r="D13" s="94" t="s">
        <v>100</v>
      </c>
    </row>
    <row r="14" spans="1:4" ht="20.100000000000001" customHeight="1">
      <c r="A14" s="182" t="str">
        <f>'Quadro Resumo'!D7</f>
        <v>COPEIRA</v>
      </c>
      <c r="B14" s="183"/>
      <c r="C14" s="169" t="s">
        <v>92</v>
      </c>
      <c r="D14" s="171">
        <f>VLOOKUP(A14,'Quadro Resumo'!D3:G13,4,FALSE)</f>
        <v>5</v>
      </c>
    </row>
    <row r="15" spans="1:4" ht="20.100000000000001" customHeight="1">
      <c r="A15" s="184"/>
      <c r="B15" s="185"/>
      <c r="C15" s="170"/>
      <c r="D15" s="172"/>
    </row>
    <row r="16" spans="1:4" ht="20.100000000000001" customHeight="1">
      <c r="A16" s="152" t="s">
        <v>174</v>
      </c>
      <c r="B16" s="153"/>
      <c r="C16" s="154"/>
      <c r="D16" s="93">
        <v>44</v>
      </c>
    </row>
    <row r="17" spans="1:6" ht="20.100000000000001" customHeight="1">
      <c r="A17" s="152" t="s">
        <v>160</v>
      </c>
      <c r="B17" s="153"/>
      <c r="C17" s="154"/>
      <c r="D17" s="79">
        <v>45689</v>
      </c>
    </row>
    <row r="18" spans="1:6" ht="20.100000000000001" customHeight="1">
      <c r="A18" s="190"/>
      <c r="B18" s="190"/>
      <c r="C18" s="190"/>
      <c r="D18" s="39"/>
    </row>
    <row r="19" spans="1:6" ht="20.100000000000001" customHeight="1">
      <c r="A19" s="158" t="s">
        <v>7</v>
      </c>
      <c r="B19" s="158"/>
      <c r="C19" s="158"/>
      <c r="D19" s="158"/>
    </row>
    <row r="20" spans="1:6" ht="20.100000000000001" customHeight="1">
      <c r="A20" s="40">
        <v>1</v>
      </c>
      <c r="B20" s="156" t="s">
        <v>8</v>
      </c>
      <c r="C20" s="156"/>
      <c r="D20" s="40" t="s">
        <v>9</v>
      </c>
    </row>
    <row r="21" spans="1:6" ht="20.100000000000001" customHeight="1">
      <c r="A21" s="94" t="s">
        <v>1</v>
      </c>
      <c r="B21" s="160" t="s">
        <v>10</v>
      </c>
      <c r="C21" s="160"/>
      <c r="D21" s="41">
        <f>VLOOKUP(A14,'Entrada de dados'!A2:H8,3,FALSE)/44*'4'!D16</f>
        <v>1821</v>
      </c>
      <c r="F21" s="26" t="s">
        <v>138</v>
      </c>
    </row>
    <row r="22" spans="1:6" ht="20.100000000000001" customHeight="1">
      <c r="A22" s="94" t="s">
        <v>3</v>
      </c>
      <c r="B22" s="160" t="s">
        <v>99</v>
      </c>
      <c r="C22" s="160"/>
      <c r="D22" s="41"/>
      <c r="F22" s="26" t="s">
        <v>161</v>
      </c>
    </row>
    <row r="23" spans="1:6" ht="20.100000000000001" customHeight="1">
      <c r="A23" s="94" t="s">
        <v>4</v>
      </c>
      <c r="B23" s="160" t="s">
        <v>98</v>
      </c>
      <c r="C23" s="160"/>
      <c r="D23" s="41">
        <v>0</v>
      </c>
      <c r="F23" s="71" t="s">
        <v>166</v>
      </c>
    </row>
    <row r="24" spans="1:6" ht="20.100000000000001" customHeight="1">
      <c r="A24" s="94" t="s">
        <v>5</v>
      </c>
      <c r="B24" s="160" t="s">
        <v>11</v>
      </c>
      <c r="C24" s="160"/>
      <c r="D24" s="41"/>
      <c r="F24" s="26" t="s">
        <v>161</v>
      </c>
    </row>
    <row r="25" spans="1:6" ht="20.100000000000001" customHeight="1">
      <c r="A25" s="94" t="s">
        <v>12</v>
      </c>
      <c r="B25" s="160" t="s">
        <v>29</v>
      </c>
      <c r="C25" s="160"/>
      <c r="D25" s="41"/>
      <c r="F25" s="26" t="s">
        <v>161</v>
      </c>
    </row>
    <row r="26" spans="1:6" ht="20.100000000000001" customHeight="1">
      <c r="A26" s="94" t="s">
        <v>13</v>
      </c>
      <c r="B26" s="160" t="s">
        <v>319</v>
      </c>
      <c r="C26" s="160"/>
      <c r="D26" s="41">
        <v>0</v>
      </c>
      <c r="F26" s="26" t="s">
        <v>161</v>
      </c>
    </row>
    <row r="27" spans="1:6" ht="20.100000000000001" customHeight="1">
      <c r="A27" s="156" t="s">
        <v>16</v>
      </c>
      <c r="B27" s="156"/>
      <c r="C27" s="156"/>
      <c r="D27" s="42">
        <f>SUM(D21:D26)</f>
        <v>1821</v>
      </c>
    </row>
    <row r="28" spans="1:6" ht="20.100000000000001" customHeight="1">
      <c r="A28" s="31"/>
      <c r="B28" s="38"/>
      <c r="C28" s="31"/>
      <c r="D28" s="43"/>
    </row>
    <row r="29" spans="1:6" ht="20.100000000000001" customHeight="1">
      <c r="A29" s="191" t="s">
        <v>30</v>
      </c>
      <c r="B29" s="191"/>
      <c r="C29" s="191"/>
      <c r="D29" s="191"/>
    </row>
    <row r="30" spans="1:6" ht="20.100000000000001" customHeight="1">
      <c r="A30" s="97"/>
      <c r="B30" s="99"/>
      <c r="C30" s="99"/>
      <c r="D30" s="43"/>
    </row>
    <row r="31" spans="1:6" ht="20.100000000000001" customHeight="1">
      <c r="A31" s="158" t="s">
        <v>31</v>
      </c>
      <c r="B31" s="158"/>
      <c r="C31" s="158"/>
      <c r="D31" s="158"/>
    </row>
    <row r="32" spans="1:6" ht="20.100000000000001" customHeight="1">
      <c r="A32" s="96" t="s">
        <v>32</v>
      </c>
      <c r="B32" s="96" t="s">
        <v>102</v>
      </c>
      <c r="C32" s="95" t="s">
        <v>38</v>
      </c>
      <c r="D32" s="96" t="s">
        <v>9</v>
      </c>
    </row>
    <row r="33" spans="1:13" ht="20.100000000000001" customHeight="1">
      <c r="A33" s="96" t="s">
        <v>1</v>
      </c>
      <c r="B33" s="47" t="s">
        <v>27</v>
      </c>
      <c r="C33" s="48">
        <v>8.3299999999999999E-2</v>
      </c>
      <c r="D33" s="49">
        <f>ROUND($D$27*C33,2)</f>
        <v>151.69</v>
      </c>
      <c r="F33" s="1" t="s">
        <v>113</v>
      </c>
    </row>
    <row r="34" spans="1:13" ht="20.100000000000001" customHeight="1">
      <c r="A34" s="96" t="s">
        <v>3</v>
      </c>
      <c r="B34" s="47" t="s">
        <v>184</v>
      </c>
      <c r="C34" s="48">
        <v>2.7799999999999998E-2</v>
      </c>
      <c r="D34" s="49">
        <f>ROUND($D$27*C34,2)</f>
        <v>50.62</v>
      </c>
      <c r="F34" s="25" t="s">
        <v>164</v>
      </c>
    </row>
    <row r="35" spans="1:13" ht="20.100000000000001" customHeight="1">
      <c r="A35" s="96" t="s">
        <v>4</v>
      </c>
      <c r="B35" s="50" t="s">
        <v>94</v>
      </c>
      <c r="C35" s="51">
        <f>SUM(C33:C34)</f>
        <v>0.1111</v>
      </c>
      <c r="D35" s="42">
        <f>SUM(D33:D34)</f>
        <v>202.31</v>
      </c>
    </row>
    <row r="36" spans="1:13" ht="20.100000000000001" customHeight="1">
      <c r="A36" s="96" t="s">
        <v>5</v>
      </c>
      <c r="B36" s="47" t="s">
        <v>95</v>
      </c>
      <c r="C36" s="48">
        <f>C35*C49</f>
        <v>0.04</v>
      </c>
      <c r="D36" s="49">
        <f>ROUND($D$27*C36,2)</f>
        <v>72.84</v>
      </c>
    </row>
    <row r="37" spans="1:13" ht="20.100000000000001" customHeight="1">
      <c r="A37" s="158" t="s">
        <v>34</v>
      </c>
      <c r="B37" s="158"/>
      <c r="C37" s="51">
        <f>SUM(C35:C36)</f>
        <v>0.15110000000000001</v>
      </c>
      <c r="D37" s="42">
        <f>SUM(D35:D36)</f>
        <v>275.14999999999998</v>
      </c>
      <c r="M37" s="5"/>
    </row>
    <row r="38" spans="1:13" ht="20.100000000000001" customHeight="1">
      <c r="A38" s="97"/>
      <c r="B38" s="97"/>
      <c r="C38" s="97"/>
      <c r="D38" s="43"/>
    </row>
    <row r="39" spans="1:13" ht="33" customHeight="1">
      <c r="A39" s="159" t="s">
        <v>35</v>
      </c>
      <c r="B39" s="159"/>
      <c r="C39" s="159"/>
      <c r="D39" s="159"/>
    </row>
    <row r="40" spans="1:13" ht="33.75" customHeight="1">
      <c r="A40" s="95" t="s">
        <v>36</v>
      </c>
      <c r="B40" s="50" t="s">
        <v>37</v>
      </c>
      <c r="C40" s="95" t="s">
        <v>38</v>
      </c>
      <c r="D40" s="95" t="s">
        <v>9</v>
      </c>
      <c r="E40" s="2"/>
    </row>
    <row r="41" spans="1:13" ht="20.100000000000001" customHeight="1">
      <c r="A41" s="52" t="s">
        <v>1</v>
      </c>
      <c r="B41" s="47" t="s">
        <v>39</v>
      </c>
      <c r="C41" s="48">
        <v>0.2</v>
      </c>
      <c r="D41" s="49">
        <f t="shared" ref="D41:D48" si="0">ROUND($D$27*C41,2)</f>
        <v>364.2</v>
      </c>
      <c r="F41" s="72" t="s">
        <v>114</v>
      </c>
    </row>
    <row r="42" spans="1:13" ht="20.100000000000001" customHeight="1">
      <c r="A42" s="52" t="s">
        <v>3</v>
      </c>
      <c r="B42" s="47" t="s">
        <v>40</v>
      </c>
      <c r="C42" s="48">
        <v>2.5000000000000001E-2</v>
      </c>
      <c r="D42" s="49">
        <f t="shared" si="0"/>
        <v>45.53</v>
      </c>
      <c r="F42" s="72" t="s">
        <v>115</v>
      </c>
    </row>
    <row r="43" spans="1:13" ht="20.100000000000001" customHeight="1">
      <c r="A43" s="52" t="s">
        <v>4</v>
      </c>
      <c r="B43" s="47" t="s">
        <v>41</v>
      </c>
      <c r="C43" s="48">
        <f>2%*1.0942</f>
        <v>2.1899999999999999E-2</v>
      </c>
      <c r="D43" s="49">
        <f t="shared" si="0"/>
        <v>39.880000000000003</v>
      </c>
      <c r="F43" s="72" t="s">
        <v>116</v>
      </c>
    </row>
    <row r="44" spans="1:13" ht="20.100000000000001" customHeight="1">
      <c r="A44" s="52" t="s">
        <v>5</v>
      </c>
      <c r="B44" s="47" t="s">
        <v>42</v>
      </c>
      <c r="C44" s="48">
        <v>1.4999999999999999E-2</v>
      </c>
      <c r="D44" s="49">
        <f t="shared" si="0"/>
        <v>27.32</v>
      </c>
      <c r="F44" s="72" t="s">
        <v>117</v>
      </c>
    </row>
    <row r="45" spans="1:13" ht="20.100000000000001" customHeight="1">
      <c r="A45" s="52" t="s">
        <v>12</v>
      </c>
      <c r="B45" s="47" t="s">
        <v>43</v>
      </c>
      <c r="C45" s="48">
        <v>0.01</v>
      </c>
      <c r="D45" s="49">
        <f t="shared" si="0"/>
        <v>18.21</v>
      </c>
      <c r="F45" s="72" t="s">
        <v>118</v>
      </c>
    </row>
    <row r="46" spans="1:13" ht="20.100000000000001" customHeight="1">
      <c r="A46" s="52" t="s">
        <v>13</v>
      </c>
      <c r="B46" s="47" t="s">
        <v>44</v>
      </c>
      <c r="C46" s="48">
        <v>6.0000000000000001E-3</v>
      </c>
      <c r="D46" s="49">
        <f t="shared" si="0"/>
        <v>10.93</v>
      </c>
      <c r="F46" s="72" t="s">
        <v>119</v>
      </c>
    </row>
    <row r="47" spans="1:13" ht="20.100000000000001" customHeight="1">
      <c r="A47" s="52" t="s">
        <v>14</v>
      </c>
      <c r="B47" s="47" t="s">
        <v>45</v>
      </c>
      <c r="C47" s="48">
        <v>2E-3</v>
      </c>
      <c r="D47" s="49">
        <f t="shared" si="0"/>
        <v>3.64</v>
      </c>
      <c r="F47" s="72" t="s">
        <v>120</v>
      </c>
    </row>
    <row r="48" spans="1:13" ht="20.100000000000001" customHeight="1">
      <c r="A48" s="52" t="s">
        <v>15</v>
      </c>
      <c r="B48" s="47" t="s">
        <v>46</v>
      </c>
      <c r="C48" s="48">
        <v>0.08</v>
      </c>
      <c r="D48" s="49">
        <f t="shared" si="0"/>
        <v>145.68</v>
      </c>
      <c r="F48" s="72" t="s">
        <v>121</v>
      </c>
    </row>
    <row r="49" spans="1:13" ht="20.100000000000001" customHeight="1">
      <c r="A49" s="159" t="s">
        <v>22</v>
      </c>
      <c r="B49" s="159"/>
      <c r="C49" s="51">
        <f>ROUND(SUM(C41:C48),4)</f>
        <v>0.3599</v>
      </c>
      <c r="D49" s="42">
        <f>ROUND(SUM(D41:D48),2)</f>
        <v>655.39</v>
      </c>
      <c r="F49" s="25" t="s">
        <v>122</v>
      </c>
      <c r="M49" s="5"/>
    </row>
    <row r="50" spans="1:13" ht="20.100000000000001" customHeight="1">
      <c r="A50" s="97"/>
      <c r="B50" s="97"/>
      <c r="C50" s="97"/>
      <c r="D50" s="43"/>
    </row>
    <row r="51" spans="1:13" ht="20.100000000000001" customHeight="1">
      <c r="A51" s="161" t="s">
        <v>47</v>
      </c>
      <c r="B51" s="161"/>
      <c r="C51" s="161"/>
      <c r="D51" s="161"/>
    </row>
    <row r="52" spans="1:13" ht="20.100000000000001" customHeight="1">
      <c r="A52" s="94" t="s">
        <v>48</v>
      </c>
      <c r="B52" s="156" t="s">
        <v>17</v>
      </c>
      <c r="C52" s="156"/>
      <c r="D52" s="94" t="s">
        <v>9</v>
      </c>
      <c r="F52" s="14" t="s">
        <v>104</v>
      </c>
      <c r="G52" s="8"/>
      <c r="K52" s="5"/>
    </row>
    <row r="53" spans="1:13" ht="20.100000000000001" customHeight="1">
      <c r="A53" s="94" t="s">
        <v>1</v>
      </c>
      <c r="B53" s="155" t="s">
        <v>101</v>
      </c>
      <c r="C53" s="155"/>
      <c r="D53" s="41">
        <f>IF(((F55*2*F53)-(D21*0.06))&lt;0,0,((F55*2*F53)-(D21*0.06)))</f>
        <v>0</v>
      </c>
      <c r="F53" s="16">
        <v>22</v>
      </c>
      <c r="G53" s="8"/>
      <c r="H53" s="26" t="s">
        <v>163</v>
      </c>
      <c r="K53" s="5"/>
    </row>
    <row r="54" spans="1:13" ht="20.100000000000001" customHeight="1">
      <c r="A54" s="94" t="s">
        <v>3</v>
      </c>
      <c r="B54" s="157" t="s">
        <v>112</v>
      </c>
      <c r="C54" s="157"/>
      <c r="D54" s="41">
        <f>F57*1*(1-F59)</f>
        <v>644</v>
      </c>
      <c r="F54" s="14" t="s">
        <v>145</v>
      </c>
      <c r="G54" s="8"/>
      <c r="H54" s="26" t="s">
        <v>163</v>
      </c>
      <c r="K54" s="5"/>
    </row>
    <row r="55" spans="1:13" ht="20.100000000000001" customHeight="1">
      <c r="A55" s="94" t="s">
        <v>4</v>
      </c>
      <c r="B55" s="155" t="s">
        <v>175</v>
      </c>
      <c r="C55" s="155"/>
      <c r="D55" s="41">
        <f>VLOOKUP(A14,'Entrada de dados'!A2:H8,5,FALSE)</f>
        <v>28</v>
      </c>
      <c r="F55" s="15">
        <v>0</v>
      </c>
      <c r="G55" s="8"/>
      <c r="H55" s="26" t="s">
        <v>320</v>
      </c>
      <c r="K55" s="5"/>
    </row>
    <row r="56" spans="1:13" ht="20.100000000000001" customHeight="1">
      <c r="A56" s="94" t="s">
        <v>5</v>
      </c>
      <c r="B56" s="155" t="s">
        <v>176</v>
      </c>
      <c r="C56" s="155"/>
      <c r="D56" s="41">
        <f>VLOOKUP(A14,'Entrada de dados'!A2:H8,6,FALSE)</f>
        <v>28</v>
      </c>
      <c r="F56" s="14" t="s">
        <v>105</v>
      </c>
      <c r="G56" s="8"/>
      <c r="H56" s="26" t="s">
        <v>163</v>
      </c>
      <c r="K56" s="5"/>
    </row>
    <row r="57" spans="1:13" ht="20.100000000000001" customHeight="1">
      <c r="A57" s="98" t="s">
        <v>49</v>
      </c>
      <c r="B57" s="155" t="s">
        <v>177</v>
      </c>
      <c r="C57" s="155"/>
      <c r="D57" s="41">
        <f>VLOOKUP(A14,'Entrada de dados'!A2:H8,7,FALSE)</f>
        <v>87.5</v>
      </c>
      <c r="F57" s="15">
        <f>VLOOKUP(A14,'Entrada de dados'!A2:H8,4,FALSE)</f>
        <v>805</v>
      </c>
      <c r="G57" s="8"/>
      <c r="H57" s="26" t="s">
        <v>163</v>
      </c>
      <c r="K57" s="5"/>
    </row>
    <row r="58" spans="1:13" ht="20.100000000000001" customHeight="1">
      <c r="A58" s="98" t="s">
        <v>13</v>
      </c>
      <c r="B58" s="157" t="s">
        <v>178</v>
      </c>
      <c r="C58" s="157"/>
      <c r="D58" s="41">
        <f>VLOOKUP(A14,'Entrada de dados'!A2:H8,8,FALSE)*0.8</f>
        <v>53.66</v>
      </c>
      <c r="F58" s="14" t="s">
        <v>106</v>
      </c>
      <c r="G58" s="8"/>
      <c r="H58" s="26" t="s">
        <v>163</v>
      </c>
      <c r="K58" s="5"/>
    </row>
    <row r="59" spans="1:13" ht="20.100000000000001" customHeight="1">
      <c r="A59" s="98" t="s">
        <v>14</v>
      </c>
      <c r="B59" s="157" t="s">
        <v>179</v>
      </c>
      <c r="C59" s="157"/>
      <c r="D59" s="41">
        <v>0</v>
      </c>
      <c r="F59" s="10">
        <v>0.2</v>
      </c>
      <c r="G59" s="8"/>
      <c r="H59" s="26" t="s">
        <v>163</v>
      </c>
      <c r="K59" s="5"/>
    </row>
    <row r="60" spans="1:13" ht="20.100000000000001" customHeight="1">
      <c r="A60" s="158" t="s">
        <v>18</v>
      </c>
      <c r="B60" s="158"/>
      <c r="C60" s="158"/>
      <c r="D60" s="54">
        <f>ROUND(SUM(D53:D59),2)</f>
        <v>841.16</v>
      </c>
      <c r="F60" s="9"/>
      <c r="G60" s="8"/>
      <c r="K60" s="5"/>
    </row>
    <row r="61" spans="1:13" ht="20.100000000000001" customHeight="1">
      <c r="A61" s="31"/>
      <c r="B61" s="38"/>
      <c r="C61" s="31"/>
      <c r="D61" s="43"/>
      <c r="F61" s="9"/>
      <c r="G61" s="8"/>
      <c r="K61" s="5"/>
    </row>
    <row r="62" spans="1:13" ht="20.100000000000001" customHeight="1">
      <c r="A62" s="158" t="s">
        <v>50</v>
      </c>
      <c r="B62" s="158"/>
      <c r="C62" s="158"/>
      <c r="D62" s="158"/>
      <c r="F62" s="9"/>
      <c r="G62" s="8"/>
      <c r="K62" s="5"/>
    </row>
    <row r="63" spans="1:13" ht="20.100000000000001" customHeight="1">
      <c r="A63" s="95">
        <v>2</v>
      </c>
      <c r="B63" s="159" t="s">
        <v>51</v>
      </c>
      <c r="C63" s="159"/>
      <c r="D63" s="95" t="s">
        <v>9</v>
      </c>
      <c r="F63" s="9"/>
      <c r="G63" s="8"/>
      <c r="K63" s="5"/>
    </row>
    <row r="64" spans="1:13" ht="20.100000000000001" customHeight="1">
      <c r="A64" s="95" t="s">
        <v>32</v>
      </c>
      <c r="B64" s="155" t="s">
        <v>33</v>
      </c>
      <c r="C64" s="155"/>
      <c r="D64" s="49">
        <f>ROUND(D37,2)</f>
        <v>275.14999999999998</v>
      </c>
      <c r="F64" s="9"/>
      <c r="G64" s="8"/>
      <c r="K64" s="5"/>
    </row>
    <row r="65" spans="1:13" ht="20.100000000000001" customHeight="1">
      <c r="A65" s="95" t="s">
        <v>36</v>
      </c>
      <c r="B65" s="155" t="s">
        <v>37</v>
      </c>
      <c r="C65" s="155"/>
      <c r="D65" s="49">
        <f>ROUND(D49,2)</f>
        <v>655.39</v>
      </c>
      <c r="F65" s="9"/>
      <c r="G65" s="8"/>
      <c r="K65" s="5"/>
    </row>
    <row r="66" spans="1:13" ht="20.100000000000001" customHeight="1">
      <c r="A66" s="95" t="s">
        <v>48</v>
      </c>
      <c r="B66" s="155" t="s">
        <v>17</v>
      </c>
      <c r="C66" s="155"/>
      <c r="D66" s="49">
        <f>ROUND(D60,2)</f>
        <v>841.16</v>
      </c>
      <c r="F66" s="9"/>
      <c r="G66" s="8"/>
      <c r="K66" s="5"/>
    </row>
    <row r="67" spans="1:13" ht="20.100000000000001" customHeight="1">
      <c r="A67" s="159" t="s">
        <v>22</v>
      </c>
      <c r="B67" s="159"/>
      <c r="C67" s="159"/>
      <c r="D67" s="42">
        <f>ROUND(SUM(D64:D66),2)</f>
        <v>1771.7</v>
      </c>
      <c r="F67" s="9"/>
      <c r="G67" s="8"/>
      <c r="K67" s="5"/>
    </row>
    <row r="68" spans="1:13" ht="20.100000000000001" customHeight="1">
      <c r="A68" s="31"/>
      <c r="B68" s="38"/>
      <c r="C68" s="31"/>
      <c r="D68" s="43"/>
      <c r="F68" s="9"/>
      <c r="G68" s="8"/>
      <c r="K68" s="5"/>
    </row>
    <row r="69" spans="1:13" ht="20.100000000000001" customHeight="1">
      <c r="A69" s="161" t="s">
        <v>52</v>
      </c>
      <c r="B69" s="161"/>
      <c r="C69" s="161"/>
      <c r="D69" s="161"/>
      <c r="F69" s="9"/>
      <c r="G69" s="8"/>
      <c r="K69" s="5"/>
    </row>
    <row r="70" spans="1:13" ht="20.100000000000001" customHeight="1">
      <c r="A70" s="95">
        <v>3</v>
      </c>
      <c r="B70" s="50" t="s">
        <v>23</v>
      </c>
      <c r="C70" s="95" t="s">
        <v>38</v>
      </c>
      <c r="D70" s="95" t="s">
        <v>9</v>
      </c>
      <c r="F70" s="9"/>
      <c r="G70" s="8"/>
      <c r="K70" s="5"/>
    </row>
    <row r="71" spans="1:13" ht="20.100000000000001" customHeight="1">
      <c r="A71" s="95" t="s">
        <v>1</v>
      </c>
      <c r="B71" s="47" t="s">
        <v>53</v>
      </c>
      <c r="C71" s="55">
        <f>1/12*0.05</f>
        <v>4.1999999999999997E-3</v>
      </c>
      <c r="D71" s="49">
        <f>ROUND(($D$27+$D$94)*C71,2)</f>
        <v>7.65</v>
      </c>
      <c r="F71" s="188" t="s">
        <v>123</v>
      </c>
      <c r="G71" s="188"/>
      <c r="H71" s="188"/>
      <c r="I71" s="188"/>
      <c r="J71" s="188"/>
      <c r="K71" s="188"/>
    </row>
    <row r="72" spans="1:13" ht="20.100000000000001" customHeight="1">
      <c r="A72" s="95" t="s">
        <v>3</v>
      </c>
      <c r="B72" s="47" t="s">
        <v>54</v>
      </c>
      <c r="C72" s="56">
        <f>C71*C48</f>
        <v>3.3599999999999998E-4</v>
      </c>
      <c r="D72" s="49">
        <f>ROUND(($D$27+$D$94)*C72,2)</f>
        <v>0.61</v>
      </c>
      <c r="F72" s="188" t="s">
        <v>124</v>
      </c>
      <c r="G72" s="188"/>
      <c r="H72" s="188"/>
      <c r="K72" s="73"/>
    </row>
    <row r="73" spans="1:13" ht="19.5" customHeight="1">
      <c r="A73" s="95" t="s">
        <v>4</v>
      </c>
      <c r="B73" s="47" t="s">
        <v>108</v>
      </c>
      <c r="C73" s="55">
        <v>6.4999999999999997E-3</v>
      </c>
      <c r="D73" s="49">
        <f>ROUND($D$27*C73,2)</f>
        <v>11.84</v>
      </c>
      <c r="F73" s="188" t="s">
        <v>125</v>
      </c>
      <c r="G73" s="188"/>
      <c r="H73" s="188"/>
      <c r="I73" s="188"/>
      <c r="J73" s="188"/>
      <c r="K73" s="188"/>
    </row>
    <row r="74" spans="1:13" ht="20.100000000000001" customHeight="1">
      <c r="A74" s="95" t="s">
        <v>5</v>
      </c>
      <c r="B74" s="47" t="s">
        <v>97</v>
      </c>
      <c r="C74" s="55">
        <f>7/30/12</f>
        <v>1.9400000000000001E-2</v>
      </c>
      <c r="D74" s="49">
        <f>ROUND(($D$27+$D$94)*C74,2)</f>
        <v>35.33</v>
      </c>
      <c r="F74" s="188" t="s">
        <v>126</v>
      </c>
      <c r="G74" s="188"/>
      <c r="H74" s="188"/>
      <c r="I74" s="188"/>
      <c r="J74" s="188"/>
      <c r="K74" s="188"/>
    </row>
    <row r="75" spans="1:13" ht="32.25" customHeight="1">
      <c r="A75" s="95" t="s">
        <v>12</v>
      </c>
      <c r="B75" s="47" t="s">
        <v>55</v>
      </c>
      <c r="C75" s="55">
        <f>C74*C49</f>
        <v>7.0000000000000001E-3</v>
      </c>
      <c r="D75" s="49">
        <f>ROUND(($D$27+$D$94)*C75,2)</f>
        <v>12.75</v>
      </c>
      <c r="F75" s="188" t="s">
        <v>127</v>
      </c>
      <c r="G75" s="188"/>
      <c r="H75" s="188"/>
      <c r="K75" s="73"/>
    </row>
    <row r="76" spans="1:13" ht="21.75" customHeight="1">
      <c r="A76" s="95" t="s">
        <v>4</v>
      </c>
      <c r="B76" s="47" t="s">
        <v>109</v>
      </c>
      <c r="C76" s="55">
        <v>3.3500000000000002E-2</v>
      </c>
      <c r="D76" s="49">
        <f>ROUND($D$27*C76,2)</f>
        <v>61</v>
      </c>
      <c r="F76" s="188" t="s">
        <v>125</v>
      </c>
      <c r="G76" s="188"/>
      <c r="H76" s="188"/>
      <c r="K76" s="73"/>
    </row>
    <row r="77" spans="1:13" ht="20.100000000000001" customHeight="1">
      <c r="A77" s="159" t="s">
        <v>22</v>
      </c>
      <c r="B77" s="159"/>
      <c r="C77" s="57">
        <f>ROUND(SUM(C71:C76),4)</f>
        <v>7.0900000000000005E-2</v>
      </c>
      <c r="D77" s="54">
        <f>ROUND(SUM(D71:D76),2)</f>
        <v>129.18</v>
      </c>
      <c r="F77" s="9"/>
      <c r="G77" s="8"/>
      <c r="K77" s="5"/>
      <c r="M77" s="5"/>
    </row>
    <row r="78" spans="1:13" ht="20.100000000000001" customHeight="1">
      <c r="A78" s="99"/>
      <c r="B78" s="99"/>
      <c r="C78" s="99"/>
      <c r="D78" s="43"/>
      <c r="F78" s="9"/>
      <c r="G78" s="8"/>
      <c r="K78" s="5"/>
    </row>
    <row r="79" spans="1:13" ht="20.100000000000001" customHeight="1">
      <c r="A79" s="168" t="s">
        <v>56</v>
      </c>
      <c r="B79" s="168"/>
      <c r="C79" s="168"/>
      <c r="D79" s="168"/>
      <c r="F79" s="9"/>
      <c r="G79" s="8"/>
      <c r="K79" s="5"/>
      <c r="L79" s="3"/>
    </row>
    <row r="80" spans="1:13" ht="20.100000000000001" customHeight="1">
      <c r="A80" s="99"/>
      <c r="B80" s="99"/>
      <c r="C80" s="99"/>
      <c r="D80" s="99"/>
      <c r="K80" s="6"/>
    </row>
    <row r="81" spans="1:13" ht="20.100000000000001" customHeight="1">
      <c r="A81" s="161" t="s">
        <v>57</v>
      </c>
      <c r="B81" s="161"/>
      <c r="C81" s="161"/>
      <c r="D81" s="161"/>
      <c r="K81" s="6"/>
    </row>
    <row r="82" spans="1:13" ht="20.100000000000001" customHeight="1">
      <c r="A82" s="95" t="s">
        <v>20</v>
      </c>
      <c r="B82" s="50" t="s">
        <v>58</v>
      </c>
      <c r="C82" s="95" t="s">
        <v>38</v>
      </c>
      <c r="D82" s="95" t="s">
        <v>9</v>
      </c>
      <c r="F82" s="2"/>
      <c r="G82" s="2"/>
      <c r="K82" s="6"/>
    </row>
    <row r="83" spans="1:13" ht="20.100000000000001" customHeight="1">
      <c r="A83" s="95" t="s">
        <v>1</v>
      </c>
      <c r="B83" s="47" t="s">
        <v>59</v>
      </c>
      <c r="C83" s="55">
        <f>1/12</f>
        <v>8.3299999999999999E-2</v>
      </c>
      <c r="D83" s="49">
        <f t="shared" ref="D83:D89" si="1">ROUND(($D$27+$D$67+$D$77)*C83,2)</f>
        <v>310.02999999999997</v>
      </c>
      <c r="F83" s="186" t="s">
        <v>128</v>
      </c>
      <c r="G83" s="186"/>
      <c r="H83" s="186"/>
      <c r="I83" s="77"/>
      <c r="J83" s="77"/>
      <c r="K83" s="78"/>
    </row>
    <row r="84" spans="1:13" ht="20.100000000000001" customHeight="1">
      <c r="A84" s="95" t="s">
        <v>3</v>
      </c>
      <c r="B84" s="47" t="s">
        <v>58</v>
      </c>
      <c r="C84" s="55">
        <f>0.05/365</f>
        <v>1E-4</v>
      </c>
      <c r="D84" s="49">
        <f t="shared" si="1"/>
        <v>0.37</v>
      </c>
      <c r="E84" s="4"/>
      <c r="F84" s="186" t="s">
        <v>129</v>
      </c>
      <c r="G84" s="186"/>
      <c r="H84" s="186"/>
      <c r="I84" s="77"/>
      <c r="J84" s="77"/>
      <c r="K84" s="77"/>
    </row>
    <row r="85" spans="1:13" ht="27" customHeight="1">
      <c r="A85" s="95" t="s">
        <v>4</v>
      </c>
      <c r="B85" s="47" t="s">
        <v>110</v>
      </c>
      <c r="C85" s="55">
        <f>5/30/12*0.005</f>
        <v>1E-4</v>
      </c>
      <c r="D85" s="49">
        <f t="shared" si="1"/>
        <v>0.37</v>
      </c>
      <c r="F85" s="186" t="s">
        <v>139</v>
      </c>
      <c r="G85" s="186"/>
      <c r="H85" s="186"/>
      <c r="I85" s="186"/>
      <c r="J85" s="186"/>
      <c r="K85" s="186"/>
    </row>
    <row r="86" spans="1:13" ht="20.100000000000001" customHeight="1">
      <c r="A86" s="95" t="s">
        <v>5</v>
      </c>
      <c r="B86" s="47" t="s">
        <v>28</v>
      </c>
      <c r="C86" s="55">
        <f>15/30/12*0.003</f>
        <v>1E-4</v>
      </c>
      <c r="D86" s="49">
        <f t="shared" si="1"/>
        <v>0.37</v>
      </c>
      <c r="F86" s="186" t="s">
        <v>130</v>
      </c>
      <c r="G86" s="186"/>
      <c r="H86" s="186"/>
      <c r="I86" s="186"/>
      <c r="J86" s="186"/>
      <c r="K86" s="186"/>
    </row>
    <row r="87" spans="1:13" ht="22.5" customHeight="1">
      <c r="A87" s="95" t="s">
        <v>12</v>
      </c>
      <c r="B87" s="47" t="s">
        <v>111</v>
      </c>
      <c r="C87" s="55">
        <f>0.005*(4/12)/12</f>
        <v>1E-4</v>
      </c>
      <c r="D87" s="49">
        <f t="shared" si="1"/>
        <v>0.37</v>
      </c>
      <c r="F87" s="186" t="s">
        <v>140</v>
      </c>
      <c r="G87" s="186"/>
      <c r="H87" s="186"/>
      <c r="I87" s="186"/>
      <c r="J87" s="186"/>
      <c r="K87" s="186"/>
    </row>
    <row r="88" spans="1:13" ht="20.100000000000001" customHeight="1">
      <c r="A88" s="95" t="s">
        <v>13</v>
      </c>
      <c r="B88" s="47" t="s">
        <v>85</v>
      </c>
      <c r="C88" s="55">
        <f>0.05/365</f>
        <v>1E-4</v>
      </c>
      <c r="D88" s="49">
        <f t="shared" si="1"/>
        <v>0.37</v>
      </c>
      <c r="E88" s="5"/>
      <c r="F88" s="186" t="s">
        <v>131</v>
      </c>
      <c r="G88" s="186"/>
      <c r="H88" s="186"/>
      <c r="I88" s="77"/>
      <c r="J88" s="77"/>
      <c r="K88" s="77"/>
    </row>
    <row r="89" spans="1:13" ht="20.100000000000001" customHeight="1">
      <c r="A89" s="95" t="s">
        <v>14</v>
      </c>
      <c r="B89" s="47" t="s">
        <v>84</v>
      </c>
      <c r="C89" s="55"/>
      <c r="D89" s="49">
        <f t="shared" si="1"/>
        <v>0</v>
      </c>
      <c r="E89" s="5"/>
      <c r="F89" s="189" t="s">
        <v>162</v>
      </c>
      <c r="G89" s="189"/>
      <c r="H89" s="189"/>
      <c r="I89" s="189"/>
      <c r="J89" s="189"/>
      <c r="K89" s="189"/>
    </row>
    <row r="90" spans="1:13" ht="20.100000000000001" customHeight="1">
      <c r="A90" s="159" t="s">
        <v>22</v>
      </c>
      <c r="B90" s="159"/>
      <c r="C90" s="51">
        <f>ROUND(SUM(C83:C89),4)</f>
        <v>8.3799999999999999E-2</v>
      </c>
      <c r="D90" s="42">
        <f>ROUND(SUM(D83:D89),2)</f>
        <v>311.88</v>
      </c>
      <c r="F90" s="74"/>
      <c r="M90" s="5"/>
    </row>
    <row r="91" spans="1:13" ht="20.100000000000001" customHeight="1">
      <c r="A91" s="99"/>
      <c r="B91" s="99"/>
      <c r="C91" s="32"/>
      <c r="D91" s="43"/>
      <c r="F91" s="13"/>
      <c r="M91" s="13"/>
    </row>
    <row r="92" spans="1:13" ht="20.100000000000001" customHeight="1">
      <c r="A92" s="161" t="s">
        <v>60</v>
      </c>
      <c r="B92" s="161"/>
      <c r="C92" s="161"/>
      <c r="D92" s="161"/>
    </row>
    <row r="93" spans="1:13" ht="20.100000000000001" customHeight="1">
      <c r="A93" s="95" t="s">
        <v>21</v>
      </c>
      <c r="B93" s="50" t="s">
        <v>61</v>
      </c>
      <c r="C93" s="95" t="s">
        <v>38</v>
      </c>
      <c r="D93" s="95" t="s">
        <v>9</v>
      </c>
      <c r="E93" s="3"/>
    </row>
    <row r="94" spans="1:13" ht="20.100000000000001" customHeight="1">
      <c r="A94" s="95" t="s">
        <v>1</v>
      </c>
      <c r="B94" s="47" t="s">
        <v>62</v>
      </c>
      <c r="C94" s="55">
        <f>D94/D27</f>
        <v>0</v>
      </c>
      <c r="D94" s="41">
        <v>0</v>
      </c>
      <c r="E94" s="7"/>
    </row>
    <row r="95" spans="1:13" ht="20.100000000000001" customHeight="1">
      <c r="A95" s="164" t="s">
        <v>22</v>
      </c>
      <c r="B95" s="165"/>
      <c r="C95" s="166"/>
      <c r="D95" s="41">
        <f>ROUND(D94,2)</f>
        <v>0</v>
      </c>
    </row>
    <row r="96" spans="1:13" ht="20.100000000000001" customHeight="1">
      <c r="A96" s="31"/>
      <c r="B96" s="38"/>
      <c r="C96" s="31"/>
      <c r="D96" s="43"/>
    </row>
    <row r="97" spans="1:5" ht="20.100000000000001" customHeight="1">
      <c r="A97" s="161" t="s">
        <v>63</v>
      </c>
      <c r="B97" s="161"/>
      <c r="C97" s="161"/>
      <c r="D97" s="161"/>
    </row>
    <row r="98" spans="1:5" ht="20.100000000000001" customHeight="1">
      <c r="A98" s="95">
        <v>4</v>
      </c>
      <c r="B98" s="159" t="s">
        <v>64</v>
      </c>
      <c r="C98" s="159"/>
      <c r="D98" s="95" t="s">
        <v>9</v>
      </c>
    </row>
    <row r="99" spans="1:5" ht="20.100000000000001" customHeight="1">
      <c r="A99" s="52" t="s">
        <v>20</v>
      </c>
      <c r="B99" s="155" t="s">
        <v>58</v>
      </c>
      <c r="C99" s="155"/>
      <c r="D99" s="49">
        <f>ROUND(D90,2)</f>
        <v>311.88</v>
      </c>
    </row>
    <row r="100" spans="1:5" ht="20.100000000000001" customHeight="1">
      <c r="A100" s="52" t="s">
        <v>21</v>
      </c>
      <c r="B100" s="155" t="s">
        <v>61</v>
      </c>
      <c r="C100" s="155"/>
      <c r="D100" s="49">
        <f>ROUND(D95,2)</f>
        <v>0</v>
      </c>
    </row>
    <row r="101" spans="1:5" ht="20.100000000000001" customHeight="1">
      <c r="A101" s="159" t="s">
        <v>22</v>
      </c>
      <c r="B101" s="159"/>
      <c r="C101" s="159"/>
      <c r="D101" s="42">
        <f>ROUND(SUM(D99:D100),2)</f>
        <v>311.88</v>
      </c>
    </row>
    <row r="102" spans="1:5" ht="20.100000000000001" customHeight="1">
      <c r="A102" s="31"/>
      <c r="B102" s="38"/>
      <c r="C102" s="31"/>
      <c r="D102" s="43"/>
      <c r="E102" s="5"/>
    </row>
    <row r="103" spans="1:5" ht="20.100000000000001" customHeight="1">
      <c r="A103" s="158" t="s">
        <v>65</v>
      </c>
      <c r="B103" s="158"/>
      <c r="C103" s="158"/>
      <c r="D103" s="158"/>
    </row>
    <row r="104" spans="1:5" ht="20.100000000000001" customHeight="1">
      <c r="A104" s="96">
        <v>5</v>
      </c>
      <c r="B104" s="158" t="s">
        <v>103</v>
      </c>
      <c r="C104" s="158"/>
      <c r="D104" s="96" t="s">
        <v>9</v>
      </c>
    </row>
    <row r="105" spans="1:5" ht="20.100000000000001" customHeight="1">
      <c r="A105" s="96" t="s">
        <v>1</v>
      </c>
      <c r="B105" s="163" t="s">
        <v>89</v>
      </c>
      <c r="C105" s="163"/>
      <c r="D105" s="41">
        <f>VLOOKUP(A14,'Entrada de dados'!A2:N10,9,FALSE)</f>
        <v>27.92</v>
      </c>
    </row>
    <row r="106" spans="1:5" ht="20.100000000000001" customHeight="1">
      <c r="A106" s="96" t="s">
        <v>3</v>
      </c>
      <c r="B106" s="163" t="s">
        <v>321</v>
      </c>
      <c r="C106" s="163"/>
      <c r="D106" s="41">
        <f>VLOOKUP(A14,'Entrada de dados'!A2:N10,10,FALSE)</f>
        <v>0</v>
      </c>
    </row>
    <row r="107" spans="1:5" ht="20.100000000000001" customHeight="1">
      <c r="A107" s="96" t="s">
        <v>3</v>
      </c>
      <c r="B107" s="163" t="s">
        <v>83</v>
      </c>
      <c r="C107" s="163"/>
      <c r="D107" s="41">
        <f>VLOOKUP(A14,'Entrada de dados'!A2:N10,11,FALSE)</f>
        <v>0</v>
      </c>
    </row>
    <row r="108" spans="1:5" ht="20.100000000000001" customHeight="1">
      <c r="A108" s="96" t="s">
        <v>3</v>
      </c>
      <c r="B108" s="163" t="s">
        <v>322</v>
      </c>
      <c r="C108" s="163"/>
      <c r="D108" s="41">
        <f>VLOOKUP(A14,'Entrada de dados'!A2:N10,12,FALSE)</f>
        <v>0</v>
      </c>
    </row>
    <row r="109" spans="1:5" ht="20.100000000000001" customHeight="1">
      <c r="A109" s="96" t="s">
        <v>3</v>
      </c>
      <c r="B109" s="163" t="s">
        <v>141</v>
      </c>
      <c r="C109" s="163"/>
      <c r="D109" s="41">
        <f>VLOOKUP(A14,'Entrada de dados'!A2:N10,13,FALSE)</f>
        <v>18.78</v>
      </c>
    </row>
    <row r="110" spans="1:5" ht="20.100000000000001" customHeight="1">
      <c r="A110" s="58" t="s">
        <v>4</v>
      </c>
      <c r="B110" s="163" t="s">
        <v>323</v>
      </c>
      <c r="C110" s="163"/>
      <c r="D110" s="41">
        <f>VLOOKUP(A14,'Entrada de dados'!A2:N10,14,FALSE)</f>
        <v>25.67</v>
      </c>
    </row>
    <row r="111" spans="1:5" ht="20.100000000000001" customHeight="1">
      <c r="A111" s="58" t="s">
        <v>5</v>
      </c>
      <c r="B111" s="163" t="s">
        <v>324</v>
      </c>
      <c r="C111" s="163"/>
      <c r="D111" s="41">
        <v>0</v>
      </c>
    </row>
    <row r="112" spans="1:5" ht="20.100000000000001" customHeight="1">
      <c r="A112" s="158" t="s">
        <v>19</v>
      </c>
      <c r="B112" s="158"/>
      <c r="C112" s="158"/>
      <c r="D112" s="54">
        <f>ROUND(SUM(D105:D111),2)</f>
        <v>72.37</v>
      </c>
    </row>
    <row r="113" spans="1:8" ht="20.100000000000001" customHeight="1">
      <c r="A113" s="167"/>
      <c r="B113" s="167"/>
      <c r="C113" s="167"/>
      <c r="D113" s="32"/>
    </row>
    <row r="114" spans="1:8" ht="20.100000000000001" customHeight="1">
      <c r="A114" s="158" t="s">
        <v>79</v>
      </c>
      <c r="B114" s="158"/>
      <c r="C114" s="158"/>
      <c r="D114" s="158"/>
    </row>
    <row r="115" spans="1:8" ht="20.100000000000001" customHeight="1">
      <c r="A115" s="95">
        <v>6</v>
      </c>
      <c r="B115" s="50" t="s">
        <v>24</v>
      </c>
      <c r="C115" s="95" t="s">
        <v>38</v>
      </c>
      <c r="D115" s="95" t="s">
        <v>9</v>
      </c>
    </row>
    <row r="116" spans="1:8" ht="20.100000000000001" customHeight="1">
      <c r="A116" s="95" t="s">
        <v>1</v>
      </c>
      <c r="B116" s="47" t="s">
        <v>25</v>
      </c>
      <c r="C116" s="59">
        <v>1E-3</v>
      </c>
      <c r="D116" s="41">
        <f>D132*C116</f>
        <v>4.1100000000000003</v>
      </c>
    </row>
    <row r="117" spans="1:8" ht="20.100000000000001" customHeight="1">
      <c r="A117" s="95" t="s">
        <v>3</v>
      </c>
      <c r="B117" s="47" t="s">
        <v>66</v>
      </c>
      <c r="C117" s="59">
        <f>'1'!C117</f>
        <v>7.7999999999999996E-3</v>
      </c>
      <c r="D117" s="41">
        <f>(D132+D116)*C117</f>
        <v>32.06</v>
      </c>
      <c r="E117" s="126"/>
    </row>
    <row r="118" spans="1:8" ht="20.100000000000001" customHeight="1">
      <c r="A118" s="95" t="s">
        <v>4</v>
      </c>
      <c r="B118" s="47" t="s">
        <v>67</v>
      </c>
      <c r="C118" s="60"/>
      <c r="D118" s="41"/>
    </row>
    <row r="119" spans="1:8" ht="20.100000000000001" customHeight="1">
      <c r="A119" s="95"/>
      <c r="B119" s="47" t="s">
        <v>88</v>
      </c>
      <c r="C119" s="61">
        <v>6.4999999999999997E-3</v>
      </c>
      <c r="D119" s="41">
        <f>ROUND((D132+D116+D117)/(1-$C$122)*C119,2)</f>
        <v>29.47</v>
      </c>
      <c r="F119" s="187"/>
    </row>
    <row r="120" spans="1:8" ht="20.100000000000001" customHeight="1">
      <c r="A120" s="95"/>
      <c r="B120" s="47" t="s">
        <v>87</v>
      </c>
      <c r="C120" s="61">
        <v>0.03</v>
      </c>
      <c r="D120" s="41">
        <f>ROUND((D132+D116+D117)/(1-$C$122)*C120,2)</f>
        <v>136.04</v>
      </c>
      <c r="F120" s="187"/>
    </row>
    <row r="121" spans="1:8" ht="20.100000000000001" customHeight="1">
      <c r="A121" s="52"/>
      <c r="B121" s="47" t="s">
        <v>86</v>
      </c>
      <c r="C121" s="61">
        <v>0.05</v>
      </c>
      <c r="D121" s="41">
        <f>ROUND((D132+D116+D117)/(1-$C$122)*C121,2)</f>
        <v>226.73</v>
      </c>
      <c r="F121" s="70" t="s">
        <v>165</v>
      </c>
      <c r="G121" s="70"/>
      <c r="H121" s="70"/>
    </row>
    <row r="122" spans="1:8" ht="20.100000000000001" customHeight="1">
      <c r="A122" s="95"/>
      <c r="B122" s="62" t="s">
        <v>80</v>
      </c>
      <c r="C122" s="60">
        <f>SUM(C119:C121)</f>
        <v>8.6499999999999994E-2</v>
      </c>
      <c r="D122" s="42">
        <f>ROUND(SUM(D119:D121),2)</f>
        <v>392.24</v>
      </c>
    </row>
    <row r="123" spans="1:8" ht="20.100000000000001" customHeight="1">
      <c r="A123" s="164" t="s">
        <v>81</v>
      </c>
      <c r="B123" s="165"/>
      <c r="C123" s="166"/>
      <c r="D123" s="42">
        <f>ROUND(D122+D116+D117,2)</f>
        <v>428.41</v>
      </c>
    </row>
    <row r="124" spans="1:8" ht="20.100000000000001" customHeight="1">
      <c r="A124" s="63"/>
      <c r="B124" s="32"/>
      <c r="C124" s="32"/>
      <c r="D124" s="32"/>
    </row>
    <row r="125" spans="1:8" ht="20.100000000000001" customHeight="1">
      <c r="A125" s="161" t="s">
        <v>68</v>
      </c>
      <c r="B125" s="161"/>
      <c r="C125" s="161"/>
      <c r="D125" s="161"/>
    </row>
    <row r="126" spans="1:8" ht="20.100000000000001" customHeight="1">
      <c r="A126" s="52"/>
      <c r="B126" s="159" t="s">
        <v>69</v>
      </c>
      <c r="C126" s="159"/>
      <c r="D126" s="95" t="s">
        <v>9</v>
      </c>
    </row>
    <row r="127" spans="1:8" ht="20.100000000000001" customHeight="1">
      <c r="A127" s="95" t="s">
        <v>1</v>
      </c>
      <c r="B127" s="155" t="s">
        <v>26</v>
      </c>
      <c r="C127" s="155"/>
      <c r="D127" s="64">
        <f>ROUND(D27,2)</f>
        <v>1821</v>
      </c>
      <c r="F127" s="27" t="s">
        <v>132</v>
      </c>
    </row>
    <row r="128" spans="1:8" ht="25.5">
      <c r="A128" s="95" t="s">
        <v>3</v>
      </c>
      <c r="B128" s="155" t="s">
        <v>70</v>
      </c>
      <c r="C128" s="155"/>
      <c r="D128" s="65">
        <f>ROUND(D67,2)</f>
        <v>1771.7</v>
      </c>
      <c r="F128" s="27" t="s">
        <v>133</v>
      </c>
      <c r="G128" s="2"/>
    </row>
    <row r="129" spans="1:7" ht="25.5">
      <c r="A129" s="95" t="s">
        <v>4</v>
      </c>
      <c r="B129" s="155" t="s">
        <v>52</v>
      </c>
      <c r="C129" s="155"/>
      <c r="D129" s="64">
        <f>ROUND(D77,2)</f>
        <v>129.18</v>
      </c>
      <c r="F129" s="27" t="s">
        <v>134</v>
      </c>
    </row>
    <row r="130" spans="1:7" ht="25.5">
      <c r="A130" s="95" t="s">
        <v>5</v>
      </c>
      <c r="B130" s="155" t="s">
        <v>56</v>
      </c>
      <c r="C130" s="155"/>
      <c r="D130" s="64">
        <f>ROUND(D101,2)</f>
        <v>311.88</v>
      </c>
      <c r="F130" s="27" t="s">
        <v>135</v>
      </c>
    </row>
    <row r="131" spans="1:7" ht="25.5">
      <c r="A131" s="95" t="s">
        <v>12</v>
      </c>
      <c r="B131" s="155" t="s">
        <v>71</v>
      </c>
      <c r="C131" s="155"/>
      <c r="D131" s="64">
        <f>ROUND(D112,2)</f>
        <v>72.37</v>
      </c>
      <c r="F131" s="27" t="s">
        <v>136</v>
      </c>
    </row>
    <row r="132" spans="1:7" ht="25.5">
      <c r="A132" s="159" t="s">
        <v>72</v>
      </c>
      <c r="B132" s="159"/>
      <c r="C132" s="159"/>
      <c r="D132" s="64">
        <f>ROUND(SUM(D127:D131),2)</f>
        <v>4106.13</v>
      </c>
      <c r="F132" s="27" t="s">
        <v>137</v>
      </c>
    </row>
    <row r="133" spans="1:7" ht="20.100000000000001" customHeight="1">
      <c r="A133" s="95" t="s">
        <v>13</v>
      </c>
      <c r="B133" s="155" t="s">
        <v>73</v>
      </c>
      <c r="C133" s="155"/>
      <c r="D133" s="64">
        <f>ROUND(D123,2)</f>
        <v>428.41</v>
      </c>
    </row>
    <row r="134" spans="1:7" ht="20.100000000000001" customHeight="1">
      <c r="A134" s="159" t="s">
        <v>82</v>
      </c>
      <c r="B134" s="159"/>
      <c r="C134" s="159"/>
      <c r="D134" s="64">
        <f>ROUND(D132+D133,2)</f>
        <v>4534.54</v>
      </c>
    </row>
    <row r="135" spans="1:7" ht="20.100000000000001" customHeight="1">
      <c r="A135" s="63"/>
      <c r="B135" s="32"/>
      <c r="C135" s="32"/>
      <c r="D135" s="32"/>
    </row>
    <row r="136" spans="1:7" ht="20.100000000000001" customHeight="1">
      <c r="A136" s="161" t="s">
        <v>74</v>
      </c>
      <c r="B136" s="161"/>
      <c r="C136" s="161"/>
      <c r="D136" s="161"/>
    </row>
    <row r="137" spans="1:7" ht="20.100000000000001" customHeight="1">
      <c r="A137" s="159" t="s">
        <v>75</v>
      </c>
      <c r="B137" s="159"/>
      <c r="C137" s="159"/>
      <c r="D137" s="159"/>
    </row>
    <row r="138" spans="1:7" ht="20.100000000000001" customHeight="1">
      <c r="A138" s="52"/>
      <c r="B138" s="159" t="s">
        <v>76</v>
      </c>
      <c r="C138" s="159"/>
      <c r="D138" s="95" t="s">
        <v>77</v>
      </c>
    </row>
    <row r="139" spans="1:7" ht="20.100000000000001" customHeight="1">
      <c r="A139" s="95" t="s">
        <v>1</v>
      </c>
      <c r="B139" s="155" t="s">
        <v>143</v>
      </c>
      <c r="C139" s="155"/>
      <c r="D139" s="66">
        <f>D134</f>
        <v>4534.54</v>
      </c>
      <c r="G139" s="9"/>
    </row>
    <row r="140" spans="1:7" ht="20.100000000000001" customHeight="1">
      <c r="A140" s="95" t="s">
        <v>3</v>
      </c>
      <c r="B140" s="155" t="s">
        <v>96</v>
      </c>
      <c r="C140" s="155"/>
      <c r="D140" s="67">
        <f>D14</f>
        <v>5</v>
      </c>
    </row>
    <row r="141" spans="1:7" ht="20.100000000000001" customHeight="1">
      <c r="A141" s="95" t="s">
        <v>4</v>
      </c>
      <c r="B141" s="155" t="s">
        <v>144</v>
      </c>
      <c r="C141" s="155"/>
      <c r="D141" s="68">
        <f>D139*D140</f>
        <v>22672.7</v>
      </c>
    </row>
    <row r="142" spans="1:7" ht="30.75" customHeight="1">
      <c r="A142" s="95" t="s">
        <v>5</v>
      </c>
      <c r="B142" s="155" t="s">
        <v>78</v>
      </c>
      <c r="C142" s="155"/>
      <c r="D142" s="69">
        <f>D141*30</f>
        <v>680181</v>
      </c>
    </row>
    <row r="144" spans="1:7">
      <c r="A144" s="162"/>
      <c r="B144" s="162"/>
      <c r="C144" s="162"/>
      <c r="D144" s="162"/>
    </row>
    <row r="148" spans="1:4">
      <c r="A148" s="162"/>
      <c r="B148" s="162"/>
      <c r="C148" s="162"/>
      <c r="D148" s="162"/>
    </row>
    <row r="149" spans="1:4">
      <c r="A149" s="162"/>
      <c r="B149" s="162"/>
      <c r="C149" s="162"/>
      <c r="D149" s="162"/>
    </row>
    <row r="150" spans="1:4">
      <c r="A150" s="162"/>
      <c r="B150" s="162"/>
      <c r="C150" s="162"/>
      <c r="D150" s="162"/>
    </row>
    <row r="151" spans="1:4">
      <c r="A151" s="162"/>
      <c r="B151" s="162"/>
      <c r="C151" s="162"/>
      <c r="D151" s="162"/>
    </row>
  </sheetData>
  <mergeCells count="108">
    <mergeCell ref="A144:D144"/>
    <mergeCell ref="A148:D148"/>
    <mergeCell ref="A149:D149"/>
    <mergeCell ref="A150:D150"/>
    <mergeCell ref="A151:D151"/>
    <mergeCell ref="A137:D137"/>
    <mergeCell ref="B138:C138"/>
    <mergeCell ref="B139:C139"/>
    <mergeCell ref="B140:C140"/>
    <mergeCell ref="B141:C141"/>
    <mergeCell ref="B142:C142"/>
    <mergeCell ref="B130:C130"/>
    <mergeCell ref="B131:C131"/>
    <mergeCell ref="A132:C132"/>
    <mergeCell ref="B133:C133"/>
    <mergeCell ref="A134:C134"/>
    <mergeCell ref="A136:D136"/>
    <mergeCell ref="A123:C123"/>
    <mergeCell ref="A125:D125"/>
    <mergeCell ref="B126:C126"/>
    <mergeCell ref="B127:C127"/>
    <mergeCell ref="B128:C128"/>
    <mergeCell ref="B129:C129"/>
    <mergeCell ref="B110:C110"/>
    <mergeCell ref="B111:C111"/>
    <mergeCell ref="A112:C112"/>
    <mergeCell ref="A113:C113"/>
    <mergeCell ref="A114:D114"/>
    <mergeCell ref="F119:F120"/>
    <mergeCell ref="B104:C104"/>
    <mergeCell ref="B105:C105"/>
    <mergeCell ref="B106:C106"/>
    <mergeCell ref="B107:C107"/>
    <mergeCell ref="B108:C108"/>
    <mergeCell ref="B109:C109"/>
    <mergeCell ref="A97:D97"/>
    <mergeCell ref="B98:C98"/>
    <mergeCell ref="B99:C99"/>
    <mergeCell ref="B100:C100"/>
    <mergeCell ref="A101:C101"/>
    <mergeCell ref="A103:D103"/>
    <mergeCell ref="F87:K87"/>
    <mergeCell ref="F88:H88"/>
    <mergeCell ref="F89:K89"/>
    <mergeCell ref="A90:B90"/>
    <mergeCell ref="A92:D92"/>
    <mergeCell ref="A95:C95"/>
    <mergeCell ref="A79:D79"/>
    <mergeCell ref="A81:D81"/>
    <mergeCell ref="F83:H83"/>
    <mergeCell ref="F84:H84"/>
    <mergeCell ref="F85:K85"/>
    <mergeCell ref="F86:K86"/>
    <mergeCell ref="F72:H72"/>
    <mergeCell ref="F73:K73"/>
    <mergeCell ref="F74:K74"/>
    <mergeCell ref="F75:H75"/>
    <mergeCell ref="F76:H76"/>
    <mergeCell ref="A77:B77"/>
    <mergeCell ref="B64:C64"/>
    <mergeCell ref="B65:C65"/>
    <mergeCell ref="B66:C66"/>
    <mergeCell ref="A67:C67"/>
    <mergeCell ref="A69:D69"/>
    <mergeCell ref="F71:K71"/>
    <mergeCell ref="B57:C57"/>
    <mergeCell ref="B58:C58"/>
    <mergeCell ref="B59:C59"/>
    <mergeCell ref="A60:C60"/>
    <mergeCell ref="A62:D62"/>
    <mergeCell ref="B63:C63"/>
    <mergeCell ref="A51:D51"/>
    <mergeCell ref="B52:C52"/>
    <mergeCell ref="B53:C53"/>
    <mergeCell ref="B54:C54"/>
    <mergeCell ref="B55:C55"/>
    <mergeCell ref="B56:C56"/>
    <mergeCell ref="A27:C27"/>
    <mergeCell ref="A29:D29"/>
    <mergeCell ref="A31:D31"/>
    <mergeCell ref="A37:B37"/>
    <mergeCell ref="A39:D39"/>
    <mergeCell ref="A49:B49"/>
    <mergeCell ref="B21:C21"/>
    <mergeCell ref="B22:C22"/>
    <mergeCell ref="B23:C23"/>
    <mergeCell ref="B24:C24"/>
    <mergeCell ref="B25:C25"/>
    <mergeCell ref="B26:C26"/>
    <mergeCell ref="D14:D15"/>
    <mergeCell ref="A16:C16"/>
    <mergeCell ref="A17:C17"/>
    <mergeCell ref="A18:C18"/>
    <mergeCell ref="A19:D19"/>
    <mergeCell ref="B20:C20"/>
    <mergeCell ref="B8:C8"/>
    <mergeCell ref="B9:C9"/>
    <mergeCell ref="B10:C10"/>
    <mergeCell ref="B11:C11"/>
    <mergeCell ref="A13:B13"/>
    <mergeCell ref="A14:B15"/>
    <mergeCell ref="C14:C15"/>
    <mergeCell ref="A1:D1"/>
    <mergeCell ref="A2:D2"/>
    <mergeCell ref="A3:D3"/>
    <mergeCell ref="A4:D4"/>
    <mergeCell ref="B5:D5"/>
    <mergeCell ref="A7:D7"/>
  </mergeCells>
  <printOptions horizontalCentered="1"/>
  <pageMargins left="0.39370078740157483" right="0.39370078740157483" top="1.9685039370078741" bottom="0.78740157480314965" header="0" footer="0"/>
  <pageSetup paperSize="9" scale="80" fitToHeight="0" orientation="portrait" r:id="rId1"/>
  <rowBreaks count="1" manualBreakCount="1">
    <brk id="67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1"/>
  <sheetViews>
    <sheetView topLeftCell="A10" zoomScale="70" zoomScaleNormal="70" zoomScaleSheetLayoutView="110" workbookViewId="0">
      <selection activeCell="D143" sqref="D143"/>
    </sheetView>
  </sheetViews>
  <sheetFormatPr defaultColWidth="9.140625" defaultRowHeight="12.75"/>
  <cols>
    <col min="1" max="1" width="6" style="100" customWidth="1"/>
    <col min="2" max="2" width="62.7109375" style="1" customWidth="1"/>
    <col min="3" max="3" width="18.5703125" style="1" customWidth="1"/>
    <col min="4" max="4" width="30.7109375" style="1" customWidth="1"/>
    <col min="5" max="5" width="17.42578125" style="1" customWidth="1"/>
    <col min="6" max="6" width="102.42578125" style="1" customWidth="1"/>
    <col min="7" max="7" width="10.5703125" style="1" customWidth="1"/>
    <col min="8" max="8" width="43.85546875" style="1" customWidth="1"/>
    <col min="9" max="10" width="9.140625" style="1"/>
    <col min="11" max="11" width="11" style="1" customWidth="1"/>
    <col min="12" max="16384" width="9.140625" style="1"/>
  </cols>
  <sheetData>
    <row r="1" spans="1:4">
      <c r="A1" s="173" t="s">
        <v>93</v>
      </c>
      <c r="B1" s="173"/>
      <c r="C1" s="173"/>
      <c r="D1" s="173"/>
    </row>
    <row r="2" spans="1:4" ht="4.5" customHeight="1">
      <c r="A2" s="173"/>
      <c r="B2" s="173"/>
      <c r="C2" s="173"/>
      <c r="D2" s="173"/>
    </row>
    <row r="3" spans="1:4" ht="20.100000000000001" customHeight="1">
      <c r="A3" s="181" t="s">
        <v>315</v>
      </c>
      <c r="B3" s="179"/>
      <c r="C3" s="179"/>
      <c r="D3" s="180"/>
    </row>
    <row r="4" spans="1:4" ht="20.100000000000001" customHeight="1">
      <c r="A4" s="181" t="s">
        <v>316</v>
      </c>
      <c r="B4" s="179"/>
      <c r="C4" s="179"/>
      <c r="D4" s="180"/>
    </row>
    <row r="5" spans="1:4" ht="20.100000000000001" customHeight="1">
      <c r="A5" s="28"/>
      <c r="B5" s="178"/>
      <c r="C5" s="179"/>
      <c r="D5" s="180"/>
    </row>
    <row r="6" spans="1:4" ht="20.100000000000001" customHeight="1">
      <c r="A6" s="29"/>
      <c r="B6" s="30"/>
      <c r="C6" s="31"/>
      <c r="D6" s="32"/>
    </row>
    <row r="7" spans="1:4" ht="20.100000000000001" customHeight="1">
      <c r="A7" s="174" t="s">
        <v>0</v>
      </c>
      <c r="B7" s="175"/>
      <c r="C7" s="175"/>
      <c r="D7" s="176"/>
    </row>
    <row r="8" spans="1:4" ht="20.100000000000001" customHeight="1">
      <c r="A8" s="96" t="s">
        <v>1</v>
      </c>
      <c r="B8" s="177" t="s">
        <v>2</v>
      </c>
      <c r="C8" s="177"/>
      <c r="D8" s="34">
        <v>45783</v>
      </c>
    </row>
    <row r="9" spans="1:4" ht="30" customHeight="1">
      <c r="A9" s="96" t="s">
        <v>3</v>
      </c>
      <c r="B9" s="177" t="s">
        <v>159</v>
      </c>
      <c r="C9" s="177"/>
      <c r="D9" s="94" t="s">
        <v>317</v>
      </c>
    </row>
    <row r="10" spans="1:4" ht="20.100000000000001" customHeight="1">
      <c r="A10" s="96" t="s">
        <v>4</v>
      </c>
      <c r="B10" s="177" t="s">
        <v>142</v>
      </c>
      <c r="C10" s="177"/>
      <c r="D10" s="36" t="str">
        <f>VLOOKUP(A14,'Entrada de dados'!$A$1:$N$8,2,FALSE)</f>
        <v>PR000074/2025</v>
      </c>
    </row>
    <row r="11" spans="1:4" ht="20.100000000000001" customHeight="1">
      <c r="A11" s="96" t="s">
        <v>5</v>
      </c>
      <c r="B11" s="177" t="s">
        <v>6</v>
      </c>
      <c r="C11" s="177"/>
      <c r="D11" s="37">
        <v>30</v>
      </c>
    </row>
    <row r="12" spans="1:4" ht="20.100000000000001" customHeight="1">
      <c r="A12" s="31"/>
      <c r="B12" s="38"/>
      <c r="C12" s="31"/>
      <c r="D12" s="32"/>
    </row>
    <row r="13" spans="1:4" ht="27" customHeight="1">
      <c r="A13" s="156" t="s">
        <v>91</v>
      </c>
      <c r="B13" s="156"/>
      <c r="C13" s="94" t="s">
        <v>90</v>
      </c>
      <c r="D13" s="94" t="s">
        <v>100</v>
      </c>
    </row>
    <row r="14" spans="1:4" ht="20.100000000000001" customHeight="1">
      <c r="A14" s="182" t="str">
        <f>'Quadro Resumo'!D8</f>
        <v>JARDINEIRO</v>
      </c>
      <c r="B14" s="183"/>
      <c r="C14" s="169" t="s">
        <v>92</v>
      </c>
      <c r="D14" s="171">
        <f>VLOOKUP(A14,'Quadro Resumo'!D3:G13,4,FALSE)</f>
        <v>1</v>
      </c>
    </row>
    <row r="15" spans="1:4" ht="20.100000000000001" customHeight="1">
      <c r="A15" s="184"/>
      <c r="B15" s="185"/>
      <c r="C15" s="170"/>
      <c r="D15" s="172"/>
    </row>
    <row r="16" spans="1:4" ht="20.100000000000001" customHeight="1">
      <c r="A16" s="152" t="s">
        <v>174</v>
      </c>
      <c r="B16" s="153"/>
      <c r="C16" s="154"/>
      <c r="D16" s="93">
        <v>44</v>
      </c>
    </row>
    <row r="17" spans="1:6" ht="20.100000000000001" customHeight="1">
      <c r="A17" s="152" t="s">
        <v>160</v>
      </c>
      <c r="B17" s="153"/>
      <c r="C17" s="154"/>
      <c r="D17" s="79">
        <v>45689</v>
      </c>
    </row>
    <row r="18" spans="1:6" ht="20.100000000000001" customHeight="1">
      <c r="A18" s="190"/>
      <c r="B18" s="190"/>
      <c r="C18" s="190"/>
      <c r="D18" s="39"/>
    </row>
    <row r="19" spans="1:6" ht="20.100000000000001" customHeight="1">
      <c r="A19" s="158" t="s">
        <v>7</v>
      </c>
      <c r="B19" s="158"/>
      <c r="C19" s="158"/>
      <c r="D19" s="158"/>
    </row>
    <row r="20" spans="1:6" ht="20.100000000000001" customHeight="1">
      <c r="A20" s="40">
        <v>1</v>
      </c>
      <c r="B20" s="156" t="s">
        <v>8</v>
      </c>
      <c r="C20" s="156"/>
      <c r="D20" s="40" t="s">
        <v>9</v>
      </c>
    </row>
    <row r="21" spans="1:6" ht="20.100000000000001" customHeight="1">
      <c r="A21" s="94" t="s">
        <v>1</v>
      </c>
      <c r="B21" s="160" t="s">
        <v>10</v>
      </c>
      <c r="C21" s="160"/>
      <c r="D21" s="41">
        <f>VLOOKUP(A14,'Entrada de dados'!A2:H8,3,FALSE)/44*'5'!D16</f>
        <v>1884</v>
      </c>
      <c r="F21" s="26" t="s">
        <v>138</v>
      </c>
    </row>
    <row r="22" spans="1:6" ht="20.100000000000001" customHeight="1">
      <c r="A22" s="94" t="s">
        <v>3</v>
      </c>
      <c r="B22" s="160" t="s">
        <v>99</v>
      </c>
      <c r="C22" s="160"/>
      <c r="D22" s="41"/>
      <c r="F22" s="26" t="s">
        <v>161</v>
      </c>
    </row>
    <row r="23" spans="1:6" ht="20.100000000000001" customHeight="1">
      <c r="A23" s="94" t="s">
        <v>4</v>
      </c>
      <c r="B23" s="160" t="s">
        <v>98</v>
      </c>
      <c r="C23" s="160"/>
      <c r="D23" s="41">
        <v>0</v>
      </c>
      <c r="F23" s="71" t="s">
        <v>166</v>
      </c>
    </row>
    <row r="24" spans="1:6" ht="20.100000000000001" customHeight="1">
      <c r="A24" s="94" t="s">
        <v>5</v>
      </c>
      <c r="B24" s="160" t="s">
        <v>11</v>
      </c>
      <c r="C24" s="160"/>
      <c r="D24" s="41"/>
      <c r="F24" s="26" t="s">
        <v>161</v>
      </c>
    </row>
    <row r="25" spans="1:6" ht="20.100000000000001" customHeight="1">
      <c r="A25" s="94" t="s">
        <v>12</v>
      </c>
      <c r="B25" s="160" t="s">
        <v>29</v>
      </c>
      <c r="C25" s="160"/>
      <c r="D25" s="41"/>
      <c r="F25" s="26" t="s">
        <v>161</v>
      </c>
    </row>
    <row r="26" spans="1:6" ht="20.100000000000001" customHeight="1">
      <c r="A26" s="94" t="s">
        <v>13</v>
      </c>
      <c r="B26" s="160" t="s">
        <v>319</v>
      </c>
      <c r="C26" s="160"/>
      <c r="D26" s="41">
        <v>0</v>
      </c>
      <c r="F26" s="26" t="s">
        <v>161</v>
      </c>
    </row>
    <row r="27" spans="1:6" ht="20.100000000000001" customHeight="1">
      <c r="A27" s="156" t="s">
        <v>16</v>
      </c>
      <c r="B27" s="156"/>
      <c r="C27" s="156"/>
      <c r="D27" s="42">
        <f>SUM(D21:D26)</f>
        <v>1884</v>
      </c>
    </row>
    <row r="28" spans="1:6" ht="20.100000000000001" customHeight="1">
      <c r="A28" s="31"/>
      <c r="B28" s="38"/>
      <c r="C28" s="31"/>
      <c r="D28" s="43"/>
    </row>
    <row r="29" spans="1:6" ht="20.100000000000001" customHeight="1">
      <c r="A29" s="191" t="s">
        <v>30</v>
      </c>
      <c r="B29" s="191"/>
      <c r="C29" s="191"/>
      <c r="D29" s="191"/>
    </row>
    <row r="30" spans="1:6" ht="20.100000000000001" customHeight="1">
      <c r="A30" s="97"/>
      <c r="B30" s="99"/>
      <c r="C30" s="99"/>
      <c r="D30" s="43"/>
    </row>
    <row r="31" spans="1:6" ht="20.100000000000001" customHeight="1">
      <c r="A31" s="158" t="s">
        <v>31</v>
      </c>
      <c r="B31" s="158"/>
      <c r="C31" s="158"/>
      <c r="D31" s="158"/>
    </row>
    <row r="32" spans="1:6" ht="20.100000000000001" customHeight="1">
      <c r="A32" s="96" t="s">
        <v>32</v>
      </c>
      <c r="B32" s="96" t="s">
        <v>102</v>
      </c>
      <c r="C32" s="95" t="s">
        <v>38</v>
      </c>
      <c r="D32" s="96" t="s">
        <v>9</v>
      </c>
    </row>
    <row r="33" spans="1:13" ht="20.100000000000001" customHeight="1">
      <c r="A33" s="96" t="s">
        <v>1</v>
      </c>
      <c r="B33" s="47" t="s">
        <v>27</v>
      </c>
      <c r="C33" s="48">
        <v>8.3299999999999999E-2</v>
      </c>
      <c r="D33" s="49">
        <f>ROUND($D$27*C33,2)</f>
        <v>156.94</v>
      </c>
      <c r="F33" s="1" t="s">
        <v>113</v>
      </c>
    </row>
    <row r="34" spans="1:13" ht="20.100000000000001" customHeight="1">
      <c r="A34" s="96" t="s">
        <v>3</v>
      </c>
      <c r="B34" s="47" t="s">
        <v>184</v>
      </c>
      <c r="C34" s="48">
        <v>2.7799999999999998E-2</v>
      </c>
      <c r="D34" s="49">
        <f>ROUND($D$27*C34,2)</f>
        <v>52.38</v>
      </c>
      <c r="F34" s="25" t="s">
        <v>164</v>
      </c>
    </row>
    <row r="35" spans="1:13" ht="20.100000000000001" customHeight="1">
      <c r="A35" s="96" t="s">
        <v>4</v>
      </c>
      <c r="B35" s="50" t="s">
        <v>94</v>
      </c>
      <c r="C35" s="51">
        <f>SUM(C33:C34)</f>
        <v>0.1111</v>
      </c>
      <c r="D35" s="42">
        <f>SUM(D33:D34)</f>
        <v>209.32</v>
      </c>
    </row>
    <row r="36" spans="1:13" ht="20.100000000000001" customHeight="1">
      <c r="A36" s="96" t="s">
        <v>5</v>
      </c>
      <c r="B36" s="47" t="s">
        <v>95</v>
      </c>
      <c r="C36" s="48">
        <f>C35*C49</f>
        <v>0.04</v>
      </c>
      <c r="D36" s="49">
        <f>ROUND($D$27*C36,2)</f>
        <v>75.36</v>
      </c>
    </row>
    <row r="37" spans="1:13" ht="20.100000000000001" customHeight="1">
      <c r="A37" s="158" t="s">
        <v>34</v>
      </c>
      <c r="B37" s="158"/>
      <c r="C37" s="51">
        <f>SUM(C35:C36)</f>
        <v>0.15110000000000001</v>
      </c>
      <c r="D37" s="42">
        <f>SUM(D35:D36)</f>
        <v>284.68</v>
      </c>
      <c r="M37" s="5"/>
    </row>
    <row r="38" spans="1:13" ht="20.100000000000001" customHeight="1">
      <c r="A38" s="97"/>
      <c r="B38" s="97"/>
      <c r="C38" s="97"/>
      <c r="D38" s="43"/>
    </row>
    <row r="39" spans="1:13" ht="33" customHeight="1">
      <c r="A39" s="159" t="s">
        <v>35</v>
      </c>
      <c r="B39" s="159"/>
      <c r="C39" s="159"/>
      <c r="D39" s="159"/>
    </row>
    <row r="40" spans="1:13" ht="33.75" customHeight="1">
      <c r="A40" s="95" t="s">
        <v>36</v>
      </c>
      <c r="B40" s="50" t="s">
        <v>37</v>
      </c>
      <c r="C40" s="95" t="s">
        <v>38</v>
      </c>
      <c r="D40" s="95" t="s">
        <v>9</v>
      </c>
      <c r="E40" s="2"/>
    </row>
    <row r="41" spans="1:13" ht="20.100000000000001" customHeight="1">
      <c r="A41" s="52" t="s">
        <v>1</v>
      </c>
      <c r="B41" s="47" t="s">
        <v>39</v>
      </c>
      <c r="C41" s="48">
        <v>0.2</v>
      </c>
      <c r="D41" s="49">
        <f t="shared" ref="D41:D48" si="0">ROUND($D$27*C41,2)</f>
        <v>376.8</v>
      </c>
      <c r="F41" s="72" t="s">
        <v>114</v>
      </c>
    </row>
    <row r="42" spans="1:13" ht="20.100000000000001" customHeight="1">
      <c r="A42" s="52" t="s">
        <v>3</v>
      </c>
      <c r="B42" s="47" t="s">
        <v>40</v>
      </c>
      <c r="C42" s="48">
        <v>2.5000000000000001E-2</v>
      </c>
      <c r="D42" s="49">
        <f t="shared" si="0"/>
        <v>47.1</v>
      </c>
      <c r="F42" s="72" t="s">
        <v>115</v>
      </c>
    </row>
    <row r="43" spans="1:13" ht="20.100000000000001" customHeight="1">
      <c r="A43" s="52" t="s">
        <v>4</v>
      </c>
      <c r="B43" s="47" t="s">
        <v>41</v>
      </c>
      <c r="C43" s="48">
        <f>2%*1.0942</f>
        <v>2.1899999999999999E-2</v>
      </c>
      <c r="D43" s="49">
        <f t="shared" si="0"/>
        <v>41.26</v>
      </c>
      <c r="F43" s="72" t="s">
        <v>116</v>
      </c>
    </row>
    <row r="44" spans="1:13" ht="20.100000000000001" customHeight="1">
      <c r="A44" s="52" t="s">
        <v>5</v>
      </c>
      <c r="B44" s="47" t="s">
        <v>42</v>
      </c>
      <c r="C44" s="48">
        <v>1.4999999999999999E-2</v>
      </c>
      <c r="D44" s="49">
        <f t="shared" si="0"/>
        <v>28.26</v>
      </c>
      <c r="F44" s="72" t="s">
        <v>117</v>
      </c>
    </row>
    <row r="45" spans="1:13" ht="20.100000000000001" customHeight="1">
      <c r="A45" s="52" t="s">
        <v>12</v>
      </c>
      <c r="B45" s="47" t="s">
        <v>43</v>
      </c>
      <c r="C45" s="48">
        <v>0.01</v>
      </c>
      <c r="D45" s="49">
        <f t="shared" si="0"/>
        <v>18.84</v>
      </c>
      <c r="F45" s="72" t="s">
        <v>118</v>
      </c>
    </row>
    <row r="46" spans="1:13" ht="20.100000000000001" customHeight="1">
      <c r="A46" s="52" t="s">
        <v>13</v>
      </c>
      <c r="B46" s="47" t="s">
        <v>44</v>
      </c>
      <c r="C46" s="48">
        <v>6.0000000000000001E-3</v>
      </c>
      <c r="D46" s="49">
        <f t="shared" si="0"/>
        <v>11.3</v>
      </c>
      <c r="F46" s="72" t="s">
        <v>119</v>
      </c>
    </row>
    <row r="47" spans="1:13" ht="20.100000000000001" customHeight="1">
      <c r="A47" s="52" t="s">
        <v>14</v>
      </c>
      <c r="B47" s="47" t="s">
        <v>45</v>
      </c>
      <c r="C47" s="48">
        <v>2E-3</v>
      </c>
      <c r="D47" s="49">
        <f t="shared" si="0"/>
        <v>3.77</v>
      </c>
      <c r="F47" s="72" t="s">
        <v>120</v>
      </c>
    </row>
    <row r="48" spans="1:13" ht="20.100000000000001" customHeight="1">
      <c r="A48" s="52" t="s">
        <v>15</v>
      </c>
      <c r="B48" s="47" t="s">
        <v>46</v>
      </c>
      <c r="C48" s="48">
        <v>0.08</v>
      </c>
      <c r="D48" s="49">
        <f t="shared" si="0"/>
        <v>150.72</v>
      </c>
      <c r="F48" s="72" t="s">
        <v>121</v>
      </c>
    </row>
    <row r="49" spans="1:13" ht="20.100000000000001" customHeight="1">
      <c r="A49" s="159" t="s">
        <v>22</v>
      </c>
      <c r="B49" s="159"/>
      <c r="C49" s="51">
        <f>ROUND(SUM(C41:C48),4)</f>
        <v>0.3599</v>
      </c>
      <c r="D49" s="42">
        <f>ROUND(SUM(D41:D48),2)</f>
        <v>678.05</v>
      </c>
      <c r="F49" s="25" t="s">
        <v>122</v>
      </c>
      <c r="M49" s="5"/>
    </row>
    <row r="50" spans="1:13" ht="20.100000000000001" customHeight="1">
      <c r="A50" s="97"/>
      <c r="B50" s="97"/>
      <c r="C50" s="97"/>
      <c r="D50" s="43"/>
    </row>
    <row r="51" spans="1:13" ht="20.100000000000001" customHeight="1">
      <c r="A51" s="161" t="s">
        <v>47</v>
      </c>
      <c r="B51" s="161"/>
      <c r="C51" s="161"/>
      <c r="D51" s="161"/>
    </row>
    <row r="52" spans="1:13" ht="20.100000000000001" customHeight="1">
      <c r="A52" s="94" t="s">
        <v>48</v>
      </c>
      <c r="B52" s="156" t="s">
        <v>17</v>
      </c>
      <c r="C52" s="156"/>
      <c r="D52" s="94" t="s">
        <v>9</v>
      </c>
      <c r="F52" s="14" t="s">
        <v>104</v>
      </c>
      <c r="G52" s="8"/>
      <c r="K52" s="5"/>
    </row>
    <row r="53" spans="1:13" ht="20.100000000000001" customHeight="1">
      <c r="A53" s="94" t="s">
        <v>1</v>
      </c>
      <c r="B53" s="155" t="s">
        <v>101</v>
      </c>
      <c r="C53" s="155"/>
      <c r="D53" s="41">
        <f>IF(((F55*2*F53)-(D21*0.06))&lt;0,0,((F55*2*F53)-(D21*0.06)))</f>
        <v>0</v>
      </c>
      <c r="F53" s="16">
        <v>22</v>
      </c>
      <c r="G53" s="8"/>
      <c r="H53" s="26" t="s">
        <v>163</v>
      </c>
      <c r="K53" s="5"/>
    </row>
    <row r="54" spans="1:13" ht="20.100000000000001" customHeight="1">
      <c r="A54" s="94" t="s">
        <v>3</v>
      </c>
      <c r="B54" s="157" t="s">
        <v>112</v>
      </c>
      <c r="C54" s="157"/>
      <c r="D54" s="41">
        <f>F57*1*(1-F59)</f>
        <v>644</v>
      </c>
      <c r="F54" s="14" t="s">
        <v>145</v>
      </c>
      <c r="G54" s="8"/>
      <c r="H54" s="26" t="s">
        <v>163</v>
      </c>
      <c r="K54" s="5"/>
    </row>
    <row r="55" spans="1:13" ht="20.100000000000001" customHeight="1">
      <c r="A55" s="94" t="s">
        <v>4</v>
      </c>
      <c r="B55" s="155" t="s">
        <v>175</v>
      </c>
      <c r="C55" s="155"/>
      <c r="D55" s="41">
        <f>VLOOKUP(A14,'Entrada de dados'!A2:H8,5,FALSE)</f>
        <v>28</v>
      </c>
      <c r="F55" s="15">
        <v>0</v>
      </c>
      <c r="G55" s="8"/>
      <c r="H55" s="26" t="s">
        <v>320</v>
      </c>
      <c r="K55" s="5"/>
    </row>
    <row r="56" spans="1:13" ht="20.100000000000001" customHeight="1">
      <c r="A56" s="94" t="s">
        <v>5</v>
      </c>
      <c r="B56" s="155" t="s">
        <v>176</v>
      </c>
      <c r="C56" s="155"/>
      <c r="D56" s="41">
        <f>VLOOKUP(A14,'Entrada de dados'!A2:H8,6,FALSE)</f>
        <v>28</v>
      </c>
      <c r="F56" s="14" t="s">
        <v>105</v>
      </c>
      <c r="G56" s="8"/>
      <c r="H56" s="26" t="s">
        <v>163</v>
      </c>
      <c r="K56" s="5"/>
    </row>
    <row r="57" spans="1:13" ht="20.100000000000001" customHeight="1">
      <c r="A57" s="98" t="s">
        <v>49</v>
      </c>
      <c r="B57" s="155" t="s">
        <v>177</v>
      </c>
      <c r="C57" s="155"/>
      <c r="D57" s="41">
        <f>VLOOKUP(A14,'Entrada de dados'!A2:H8,7,FALSE)</f>
        <v>87.5</v>
      </c>
      <c r="F57" s="15">
        <f>VLOOKUP(A14,'Entrada de dados'!A2:H8,4,FALSE)</f>
        <v>805</v>
      </c>
      <c r="G57" s="8"/>
      <c r="H57" s="26" t="s">
        <v>163</v>
      </c>
      <c r="K57" s="5"/>
    </row>
    <row r="58" spans="1:13" ht="20.100000000000001" customHeight="1">
      <c r="A58" s="98" t="s">
        <v>13</v>
      </c>
      <c r="B58" s="157" t="s">
        <v>178</v>
      </c>
      <c r="C58" s="157"/>
      <c r="D58" s="41">
        <f>VLOOKUP(A14,'Entrada de dados'!A2:H8,8,FALSE)*0.8</f>
        <v>53.66</v>
      </c>
      <c r="F58" s="14" t="s">
        <v>106</v>
      </c>
      <c r="G58" s="8"/>
      <c r="H58" s="26" t="s">
        <v>163</v>
      </c>
      <c r="K58" s="5"/>
    </row>
    <row r="59" spans="1:13" ht="20.100000000000001" customHeight="1">
      <c r="A59" s="98" t="s">
        <v>14</v>
      </c>
      <c r="B59" s="157" t="s">
        <v>179</v>
      </c>
      <c r="C59" s="157"/>
      <c r="D59" s="41">
        <v>0</v>
      </c>
      <c r="F59" s="10">
        <v>0.2</v>
      </c>
      <c r="G59" s="8"/>
      <c r="H59" s="26" t="s">
        <v>163</v>
      </c>
      <c r="K59" s="5"/>
    </row>
    <row r="60" spans="1:13" ht="20.100000000000001" customHeight="1">
      <c r="A60" s="158" t="s">
        <v>18</v>
      </c>
      <c r="B60" s="158"/>
      <c r="C60" s="158"/>
      <c r="D60" s="54">
        <f>ROUND(SUM(D53:D59),2)</f>
        <v>841.16</v>
      </c>
      <c r="F60" s="9"/>
      <c r="G60" s="8"/>
      <c r="K60" s="5"/>
    </row>
    <row r="61" spans="1:13" ht="20.100000000000001" customHeight="1">
      <c r="A61" s="31"/>
      <c r="B61" s="38"/>
      <c r="C61" s="31"/>
      <c r="D61" s="43"/>
      <c r="F61" s="9"/>
      <c r="G61" s="8"/>
      <c r="K61" s="5"/>
    </row>
    <row r="62" spans="1:13" ht="20.100000000000001" customHeight="1">
      <c r="A62" s="158" t="s">
        <v>50</v>
      </c>
      <c r="B62" s="158"/>
      <c r="C62" s="158"/>
      <c r="D62" s="158"/>
      <c r="F62" s="9"/>
      <c r="G62" s="8"/>
      <c r="K62" s="5"/>
    </row>
    <row r="63" spans="1:13" ht="20.100000000000001" customHeight="1">
      <c r="A63" s="95">
        <v>2</v>
      </c>
      <c r="B63" s="159" t="s">
        <v>51</v>
      </c>
      <c r="C63" s="159"/>
      <c r="D63" s="95" t="s">
        <v>9</v>
      </c>
      <c r="F63" s="9"/>
      <c r="G63" s="8"/>
      <c r="K63" s="5"/>
    </row>
    <row r="64" spans="1:13" ht="20.100000000000001" customHeight="1">
      <c r="A64" s="95" t="s">
        <v>32</v>
      </c>
      <c r="B64" s="155" t="s">
        <v>33</v>
      </c>
      <c r="C64" s="155"/>
      <c r="D64" s="49">
        <f>ROUND(D37,2)</f>
        <v>284.68</v>
      </c>
      <c r="F64" s="9"/>
      <c r="G64" s="8"/>
      <c r="K64" s="5"/>
    </row>
    <row r="65" spans="1:13" ht="20.100000000000001" customHeight="1">
      <c r="A65" s="95" t="s">
        <v>36</v>
      </c>
      <c r="B65" s="155" t="s">
        <v>37</v>
      </c>
      <c r="C65" s="155"/>
      <c r="D65" s="49">
        <f>ROUND(D49,2)</f>
        <v>678.05</v>
      </c>
      <c r="F65" s="9"/>
      <c r="G65" s="8"/>
      <c r="K65" s="5"/>
    </row>
    <row r="66" spans="1:13" ht="20.100000000000001" customHeight="1">
      <c r="A66" s="95" t="s">
        <v>48</v>
      </c>
      <c r="B66" s="155" t="s">
        <v>17</v>
      </c>
      <c r="C66" s="155"/>
      <c r="D66" s="49">
        <f>ROUND(D60,2)</f>
        <v>841.16</v>
      </c>
      <c r="F66" s="9"/>
      <c r="G66" s="8"/>
      <c r="K66" s="5"/>
    </row>
    <row r="67" spans="1:13" ht="20.100000000000001" customHeight="1">
      <c r="A67" s="159" t="s">
        <v>22</v>
      </c>
      <c r="B67" s="159"/>
      <c r="C67" s="159"/>
      <c r="D67" s="42">
        <f>ROUND(SUM(D64:D66),2)</f>
        <v>1803.89</v>
      </c>
      <c r="F67" s="9"/>
      <c r="G67" s="8"/>
      <c r="K67" s="5"/>
    </row>
    <row r="68" spans="1:13" ht="20.100000000000001" customHeight="1">
      <c r="A68" s="31"/>
      <c r="B68" s="38"/>
      <c r="C68" s="31"/>
      <c r="D68" s="43"/>
      <c r="F68" s="9"/>
      <c r="G68" s="8"/>
      <c r="K68" s="5"/>
    </row>
    <row r="69" spans="1:13" ht="20.100000000000001" customHeight="1">
      <c r="A69" s="161" t="s">
        <v>52</v>
      </c>
      <c r="B69" s="161"/>
      <c r="C69" s="161"/>
      <c r="D69" s="161"/>
      <c r="F69" s="9"/>
      <c r="G69" s="8"/>
      <c r="K69" s="5"/>
    </row>
    <row r="70" spans="1:13" ht="20.100000000000001" customHeight="1">
      <c r="A70" s="95">
        <v>3</v>
      </c>
      <c r="B70" s="50" t="s">
        <v>23</v>
      </c>
      <c r="C70" s="95" t="s">
        <v>38</v>
      </c>
      <c r="D70" s="95" t="s">
        <v>9</v>
      </c>
      <c r="F70" s="9"/>
      <c r="G70" s="8"/>
      <c r="K70" s="5"/>
    </row>
    <row r="71" spans="1:13" ht="20.100000000000001" customHeight="1">
      <c r="A71" s="95" t="s">
        <v>1</v>
      </c>
      <c r="B71" s="47" t="s">
        <v>53</v>
      </c>
      <c r="C71" s="55">
        <f>1/12*0.05</f>
        <v>4.1999999999999997E-3</v>
      </c>
      <c r="D71" s="49">
        <f>ROUND(($D$27+$D$94)*C71,2)</f>
        <v>7.91</v>
      </c>
      <c r="F71" s="188" t="s">
        <v>123</v>
      </c>
      <c r="G71" s="188"/>
      <c r="H71" s="188"/>
      <c r="I71" s="188"/>
      <c r="J71" s="188"/>
      <c r="K71" s="188"/>
    </row>
    <row r="72" spans="1:13" ht="20.100000000000001" customHeight="1">
      <c r="A72" s="95" t="s">
        <v>3</v>
      </c>
      <c r="B72" s="47" t="s">
        <v>54</v>
      </c>
      <c r="C72" s="56">
        <f>C71*C48</f>
        <v>3.3599999999999998E-4</v>
      </c>
      <c r="D72" s="49">
        <f>ROUND(($D$27+$D$94)*C72,2)</f>
        <v>0.63</v>
      </c>
      <c r="F72" s="188" t="s">
        <v>124</v>
      </c>
      <c r="G72" s="188"/>
      <c r="H72" s="188"/>
      <c r="K72" s="73"/>
    </row>
    <row r="73" spans="1:13" ht="19.5" customHeight="1">
      <c r="A73" s="95" t="s">
        <v>4</v>
      </c>
      <c r="B73" s="47" t="s">
        <v>108</v>
      </c>
      <c r="C73" s="55">
        <v>6.4999999999999997E-3</v>
      </c>
      <c r="D73" s="49">
        <f>ROUND($D$27*C73,2)</f>
        <v>12.25</v>
      </c>
      <c r="F73" s="188" t="s">
        <v>125</v>
      </c>
      <c r="G73" s="188"/>
      <c r="H73" s="188"/>
      <c r="I73" s="188"/>
      <c r="J73" s="188"/>
      <c r="K73" s="188"/>
    </row>
    <row r="74" spans="1:13" ht="20.100000000000001" customHeight="1">
      <c r="A74" s="95" t="s">
        <v>5</v>
      </c>
      <c r="B74" s="47" t="s">
        <v>97</v>
      </c>
      <c r="C74" s="55">
        <f>7/30/12</f>
        <v>1.9400000000000001E-2</v>
      </c>
      <c r="D74" s="49">
        <f>ROUND(($D$27+$D$94)*C74,2)</f>
        <v>36.549999999999997</v>
      </c>
      <c r="F74" s="188" t="s">
        <v>126</v>
      </c>
      <c r="G74" s="188"/>
      <c r="H74" s="188"/>
      <c r="I74" s="188"/>
      <c r="J74" s="188"/>
      <c r="K74" s="188"/>
    </row>
    <row r="75" spans="1:13" ht="32.25" customHeight="1">
      <c r="A75" s="95" t="s">
        <v>12</v>
      </c>
      <c r="B75" s="47" t="s">
        <v>55</v>
      </c>
      <c r="C75" s="55">
        <f>C74*C49</f>
        <v>7.0000000000000001E-3</v>
      </c>
      <c r="D75" s="49">
        <f>ROUND(($D$27+$D$94)*C75,2)</f>
        <v>13.19</v>
      </c>
      <c r="F75" s="188" t="s">
        <v>127</v>
      </c>
      <c r="G75" s="188"/>
      <c r="H75" s="188"/>
      <c r="K75" s="73"/>
    </row>
    <row r="76" spans="1:13" ht="21.75" customHeight="1">
      <c r="A76" s="95" t="s">
        <v>4</v>
      </c>
      <c r="B76" s="47" t="s">
        <v>109</v>
      </c>
      <c r="C76" s="55">
        <v>3.3500000000000002E-2</v>
      </c>
      <c r="D76" s="49">
        <f>ROUND($D$27*C76,2)</f>
        <v>63.11</v>
      </c>
      <c r="F76" s="188" t="s">
        <v>125</v>
      </c>
      <c r="G76" s="188"/>
      <c r="H76" s="188"/>
      <c r="K76" s="73"/>
    </row>
    <row r="77" spans="1:13" ht="20.100000000000001" customHeight="1">
      <c r="A77" s="159" t="s">
        <v>22</v>
      </c>
      <c r="B77" s="159"/>
      <c r="C77" s="57">
        <f>ROUND(SUM(C71:C76),4)</f>
        <v>7.0900000000000005E-2</v>
      </c>
      <c r="D77" s="54">
        <f>ROUND(SUM(D71:D76),2)</f>
        <v>133.63999999999999</v>
      </c>
      <c r="F77" s="9"/>
      <c r="G77" s="8"/>
      <c r="K77" s="5"/>
      <c r="M77" s="5"/>
    </row>
    <row r="78" spans="1:13" ht="20.100000000000001" customHeight="1">
      <c r="A78" s="99"/>
      <c r="B78" s="99"/>
      <c r="C78" s="99"/>
      <c r="D78" s="43"/>
      <c r="F78" s="9"/>
      <c r="G78" s="8"/>
      <c r="K78" s="5"/>
    </row>
    <row r="79" spans="1:13" ht="20.100000000000001" customHeight="1">
      <c r="A79" s="168" t="s">
        <v>56</v>
      </c>
      <c r="B79" s="168"/>
      <c r="C79" s="168"/>
      <c r="D79" s="168"/>
      <c r="F79" s="9"/>
      <c r="G79" s="8"/>
      <c r="K79" s="5"/>
      <c r="L79" s="3"/>
    </row>
    <row r="80" spans="1:13" ht="20.100000000000001" customHeight="1">
      <c r="A80" s="99"/>
      <c r="B80" s="99"/>
      <c r="C80" s="99"/>
      <c r="D80" s="99"/>
      <c r="K80" s="6"/>
    </row>
    <row r="81" spans="1:13" ht="20.100000000000001" customHeight="1">
      <c r="A81" s="161" t="s">
        <v>57</v>
      </c>
      <c r="B81" s="161"/>
      <c r="C81" s="161"/>
      <c r="D81" s="161"/>
      <c r="K81" s="6"/>
    </row>
    <row r="82" spans="1:13" ht="20.100000000000001" customHeight="1">
      <c r="A82" s="95" t="s">
        <v>20</v>
      </c>
      <c r="B82" s="50" t="s">
        <v>58</v>
      </c>
      <c r="C82" s="95" t="s">
        <v>38</v>
      </c>
      <c r="D82" s="95" t="s">
        <v>9</v>
      </c>
      <c r="F82" s="2"/>
      <c r="G82" s="2"/>
      <c r="K82" s="6"/>
    </row>
    <row r="83" spans="1:13" ht="20.100000000000001" customHeight="1">
      <c r="A83" s="95" t="s">
        <v>1</v>
      </c>
      <c r="B83" s="47" t="s">
        <v>59</v>
      </c>
      <c r="C83" s="55">
        <f>1/12</f>
        <v>8.3299999999999999E-2</v>
      </c>
      <c r="D83" s="49">
        <f t="shared" ref="D83:D89" si="1">ROUND(($D$27+$D$67+$D$77)*C83,2)</f>
        <v>318.33</v>
      </c>
      <c r="F83" s="186" t="s">
        <v>128</v>
      </c>
      <c r="G83" s="186"/>
      <c r="H83" s="186"/>
      <c r="I83" s="77"/>
      <c r="J83" s="77"/>
      <c r="K83" s="78"/>
    </row>
    <row r="84" spans="1:13" ht="20.100000000000001" customHeight="1">
      <c r="A84" s="95" t="s">
        <v>3</v>
      </c>
      <c r="B84" s="47" t="s">
        <v>58</v>
      </c>
      <c r="C84" s="55">
        <f>0.05/365</f>
        <v>1E-4</v>
      </c>
      <c r="D84" s="49">
        <f t="shared" si="1"/>
        <v>0.38</v>
      </c>
      <c r="E84" s="4"/>
      <c r="F84" s="186" t="s">
        <v>129</v>
      </c>
      <c r="G84" s="186"/>
      <c r="H84" s="186"/>
      <c r="I84" s="77"/>
      <c r="J84" s="77"/>
      <c r="K84" s="77"/>
    </row>
    <row r="85" spans="1:13" ht="27" customHeight="1">
      <c r="A85" s="95" t="s">
        <v>4</v>
      </c>
      <c r="B85" s="47" t="s">
        <v>110</v>
      </c>
      <c r="C85" s="55">
        <f>5/30/12*0.005</f>
        <v>1E-4</v>
      </c>
      <c r="D85" s="49">
        <f t="shared" si="1"/>
        <v>0.38</v>
      </c>
      <c r="F85" s="186" t="s">
        <v>139</v>
      </c>
      <c r="G85" s="186"/>
      <c r="H85" s="186"/>
      <c r="I85" s="186"/>
      <c r="J85" s="186"/>
      <c r="K85" s="186"/>
    </row>
    <row r="86" spans="1:13" ht="20.100000000000001" customHeight="1">
      <c r="A86" s="95" t="s">
        <v>5</v>
      </c>
      <c r="B86" s="47" t="s">
        <v>28</v>
      </c>
      <c r="C86" s="55">
        <f>15/30/12*0.003</f>
        <v>1E-4</v>
      </c>
      <c r="D86" s="49">
        <f t="shared" si="1"/>
        <v>0.38</v>
      </c>
      <c r="F86" s="186" t="s">
        <v>130</v>
      </c>
      <c r="G86" s="186"/>
      <c r="H86" s="186"/>
      <c r="I86" s="186"/>
      <c r="J86" s="186"/>
      <c r="K86" s="186"/>
    </row>
    <row r="87" spans="1:13" ht="22.5" customHeight="1">
      <c r="A87" s="95" t="s">
        <v>12</v>
      </c>
      <c r="B87" s="47" t="s">
        <v>111</v>
      </c>
      <c r="C87" s="55">
        <f>0.005*(4/12)/12</f>
        <v>1E-4</v>
      </c>
      <c r="D87" s="49">
        <f t="shared" si="1"/>
        <v>0.38</v>
      </c>
      <c r="F87" s="186" t="s">
        <v>140</v>
      </c>
      <c r="G87" s="186"/>
      <c r="H87" s="186"/>
      <c r="I87" s="186"/>
      <c r="J87" s="186"/>
      <c r="K87" s="186"/>
    </row>
    <row r="88" spans="1:13" ht="20.100000000000001" customHeight="1">
      <c r="A88" s="95" t="s">
        <v>13</v>
      </c>
      <c r="B88" s="47" t="s">
        <v>85</v>
      </c>
      <c r="C88" s="55">
        <f>0.05/365</f>
        <v>1E-4</v>
      </c>
      <c r="D88" s="49">
        <f t="shared" si="1"/>
        <v>0.38</v>
      </c>
      <c r="E88" s="5"/>
      <c r="F88" s="186" t="s">
        <v>131</v>
      </c>
      <c r="G88" s="186"/>
      <c r="H88" s="186"/>
      <c r="I88" s="77"/>
      <c r="J88" s="77"/>
      <c r="K88" s="77"/>
    </row>
    <row r="89" spans="1:13" ht="20.100000000000001" customHeight="1">
      <c r="A89" s="95" t="s">
        <v>14</v>
      </c>
      <c r="B89" s="47" t="s">
        <v>84</v>
      </c>
      <c r="C89" s="55"/>
      <c r="D89" s="49">
        <f t="shared" si="1"/>
        <v>0</v>
      </c>
      <c r="E89" s="5"/>
      <c r="F89" s="189" t="s">
        <v>162</v>
      </c>
      <c r="G89" s="189"/>
      <c r="H89" s="189"/>
      <c r="I89" s="189"/>
      <c r="J89" s="189"/>
      <c r="K89" s="189"/>
    </row>
    <row r="90" spans="1:13" ht="20.100000000000001" customHeight="1">
      <c r="A90" s="159" t="s">
        <v>22</v>
      </c>
      <c r="B90" s="159"/>
      <c r="C90" s="51">
        <f>ROUND(SUM(C83:C89),4)</f>
        <v>8.3799999999999999E-2</v>
      </c>
      <c r="D90" s="42">
        <f>ROUND(SUM(D83:D89),2)</f>
        <v>320.23</v>
      </c>
      <c r="F90" s="74"/>
      <c r="M90" s="5"/>
    </row>
    <row r="91" spans="1:13" ht="20.100000000000001" customHeight="1">
      <c r="A91" s="99"/>
      <c r="B91" s="99"/>
      <c r="C91" s="32"/>
      <c r="D91" s="43"/>
      <c r="F91" s="13"/>
      <c r="M91" s="13"/>
    </row>
    <row r="92" spans="1:13" ht="20.100000000000001" customHeight="1">
      <c r="A92" s="161" t="s">
        <v>60</v>
      </c>
      <c r="B92" s="161"/>
      <c r="C92" s="161"/>
      <c r="D92" s="161"/>
    </row>
    <row r="93" spans="1:13" ht="20.100000000000001" customHeight="1">
      <c r="A93" s="95" t="s">
        <v>21</v>
      </c>
      <c r="B93" s="50" t="s">
        <v>61</v>
      </c>
      <c r="C93" s="95" t="s">
        <v>38</v>
      </c>
      <c r="D93" s="95" t="s">
        <v>9</v>
      </c>
      <c r="E93" s="3"/>
    </row>
    <row r="94" spans="1:13" ht="20.100000000000001" customHeight="1">
      <c r="A94" s="95" t="s">
        <v>1</v>
      </c>
      <c r="B94" s="47" t="s">
        <v>62</v>
      </c>
      <c r="C94" s="55">
        <f>D94/D27</f>
        <v>0</v>
      </c>
      <c r="D94" s="41">
        <v>0</v>
      </c>
      <c r="E94" s="7"/>
    </row>
    <row r="95" spans="1:13" ht="20.100000000000001" customHeight="1">
      <c r="A95" s="164" t="s">
        <v>22</v>
      </c>
      <c r="B95" s="165"/>
      <c r="C95" s="166"/>
      <c r="D95" s="41">
        <f>ROUND(D94,2)</f>
        <v>0</v>
      </c>
    </row>
    <row r="96" spans="1:13" ht="20.100000000000001" customHeight="1">
      <c r="A96" s="31"/>
      <c r="B96" s="38"/>
      <c r="C96" s="31"/>
      <c r="D96" s="43"/>
    </row>
    <row r="97" spans="1:5" ht="20.100000000000001" customHeight="1">
      <c r="A97" s="161" t="s">
        <v>63</v>
      </c>
      <c r="B97" s="161"/>
      <c r="C97" s="161"/>
      <c r="D97" s="161"/>
    </row>
    <row r="98" spans="1:5" ht="20.100000000000001" customHeight="1">
      <c r="A98" s="95">
        <v>4</v>
      </c>
      <c r="B98" s="159" t="s">
        <v>64</v>
      </c>
      <c r="C98" s="159"/>
      <c r="D98" s="95" t="s">
        <v>9</v>
      </c>
    </row>
    <row r="99" spans="1:5" ht="20.100000000000001" customHeight="1">
      <c r="A99" s="52" t="s">
        <v>20</v>
      </c>
      <c r="B99" s="155" t="s">
        <v>58</v>
      </c>
      <c r="C99" s="155"/>
      <c r="D99" s="49">
        <f>ROUND(D90,2)</f>
        <v>320.23</v>
      </c>
    </row>
    <row r="100" spans="1:5" ht="20.100000000000001" customHeight="1">
      <c r="A100" s="52" t="s">
        <v>21</v>
      </c>
      <c r="B100" s="155" t="s">
        <v>61</v>
      </c>
      <c r="C100" s="155"/>
      <c r="D100" s="49">
        <f>ROUND(D95,2)</f>
        <v>0</v>
      </c>
    </row>
    <row r="101" spans="1:5" ht="20.100000000000001" customHeight="1">
      <c r="A101" s="159" t="s">
        <v>22</v>
      </c>
      <c r="B101" s="159"/>
      <c r="C101" s="159"/>
      <c r="D101" s="42">
        <f>ROUND(SUM(D99:D100),2)</f>
        <v>320.23</v>
      </c>
    </row>
    <row r="102" spans="1:5" ht="20.100000000000001" customHeight="1">
      <c r="A102" s="31"/>
      <c r="B102" s="38"/>
      <c r="C102" s="31"/>
      <c r="D102" s="43"/>
      <c r="E102" s="5"/>
    </row>
    <row r="103" spans="1:5" ht="20.100000000000001" customHeight="1">
      <c r="A103" s="158" t="s">
        <v>65</v>
      </c>
      <c r="B103" s="158"/>
      <c r="C103" s="158"/>
      <c r="D103" s="158"/>
    </row>
    <row r="104" spans="1:5" ht="20.100000000000001" customHeight="1">
      <c r="A104" s="96">
        <v>5</v>
      </c>
      <c r="B104" s="158" t="s">
        <v>103</v>
      </c>
      <c r="C104" s="158"/>
      <c r="D104" s="96" t="s">
        <v>9</v>
      </c>
    </row>
    <row r="105" spans="1:5" ht="20.100000000000001" customHeight="1">
      <c r="A105" s="96" t="s">
        <v>1</v>
      </c>
      <c r="B105" s="163" t="s">
        <v>89</v>
      </c>
      <c r="C105" s="163"/>
      <c r="D105" s="41">
        <f>VLOOKUP(A14,'Entrada de dados'!A2:N10,9,FALSE)</f>
        <v>43.67</v>
      </c>
    </row>
    <row r="106" spans="1:5" ht="20.100000000000001" customHeight="1">
      <c r="A106" s="96" t="s">
        <v>3</v>
      </c>
      <c r="B106" s="163" t="s">
        <v>321</v>
      </c>
      <c r="C106" s="163"/>
      <c r="D106" s="41">
        <f>VLOOKUP(A14,'Entrada de dados'!A2:N10,10,FALSE)</f>
        <v>0</v>
      </c>
    </row>
    <row r="107" spans="1:5" ht="20.100000000000001" customHeight="1">
      <c r="A107" s="96" t="s">
        <v>3</v>
      </c>
      <c r="B107" s="163" t="s">
        <v>83</v>
      </c>
      <c r="C107" s="163"/>
      <c r="D107" s="41">
        <f>VLOOKUP(A14,'Entrada de dados'!A2:N10,11,FALSE)</f>
        <v>0</v>
      </c>
    </row>
    <row r="108" spans="1:5" ht="20.100000000000001" customHeight="1">
      <c r="A108" s="96" t="s">
        <v>3</v>
      </c>
      <c r="B108" s="163" t="s">
        <v>322</v>
      </c>
      <c r="C108" s="163"/>
      <c r="D108" s="41">
        <f>VLOOKUP(A14,'Entrada de dados'!A2:N10,12,FALSE)</f>
        <v>0</v>
      </c>
    </row>
    <row r="109" spans="1:5" ht="20.100000000000001" customHeight="1">
      <c r="A109" s="96" t="s">
        <v>3</v>
      </c>
      <c r="B109" s="163" t="s">
        <v>141</v>
      </c>
      <c r="C109" s="163"/>
      <c r="D109" s="41">
        <f>VLOOKUP(A14,'Entrada de dados'!A2:N10,13,FALSE)</f>
        <v>18.78</v>
      </c>
    </row>
    <row r="110" spans="1:5" ht="20.100000000000001" customHeight="1">
      <c r="A110" s="58" t="s">
        <v>4</v>
      </c>
      <c r="B110" s="163" t="s">
        <v>323</v>
      </c>
      <c r="C110" s="163"/>
      <c r="D110" s="41">
        <f>VLOOKUP(A14,'Entrada de dados'!A2:N10,14,FALSE)</f>
        <v>25.67</v>
      </c>
    </row>
    <row r="111" spans="1:5" ht="20.100000000000001" customHeight="1">
      <c r="A111" s="58" t="s">
        <v>5</v>
      </c>
      <c r="B111" s="163" t="s">
        <v>324</v>
      </c>
      <c r="C111" s="163"/>
      <c r="D111" s="41">
        <v>0</v>
      </c>
    </row>
    <row r="112" spans="1:5" ht="20.100000000000001" customHeight="1">
      <c r="A112" s="158" t="s">
        <v>19</v>
      </c>
      <c r="B112" s="158"/>
      <c r="C112" s="158"/>
      <c r="D112" s="54">
        <f>ROUND(SUM(D105:D111),2)</f>
        <v>88.12</v>
      </c>
    </row>
    <row r="113" spans="1:8" ht="20.100000000000001" customHeight="1">
      <c r="A113" s="167"/>
      <c r="B113" s="167"/>
      <c r="C113" s="167"/>
      <c r="D113" s="32"/>
    </row>
    <row r="114" spans="1:8" ht="20.100000000000001" customHeight="1">
      <c r="A114" s="158" t="s">
        <v>79</v>
      </c>
      <c r="B114" s="158"/>
      <c r="C114" s="158"/>
      <c r="D114" s="158"/>
    </row>
    <row r="115" spans="1:8" ht="20.100000000000001" customHeight="1">
      <c r="A115" s="95">
        <v>6</v>
      </c>
      <c r="B115" s="50" t="s">
        <v>24</v>
      </c>
      <c r="C115" s="95" t="s">
        <v>38</v>
      </c>
      <c r="D115" s="95" t="s">
        <v>9</v>
      </c>
    </row>
    <row r="116" spans="1:8" ht="20.100000000000001" customHeight="1">
      <c r="A116" s="95" t="s">
        <v>1</v>
      </c>
      <c r="B116" s="47" t="s">
        <v>25</v>
      </c>
      <c r="C116" s="59">
        <v>1E-3</v>
      </c>
      <c r="D116" s="41">
        <f>D132*C116</f>
        <v>4.2300000000000004</v>
      </c>
    </row>
    <row r="117" spans="1:8" ht="20.100000000000001" customHeight="1">
      <c r="A117" s="95" t="s">
        <v>3</v>
      </c>
      <c r="B117" s="47" t="s">
        <v>66</v>
      </c>
      <c r="C117" s="59">
        <f>'1'!C117</f>
        <v>7.7999999999999996E-3</v>
      </c>
      <c r="D117" s="41">
        <f>(D132+D116)*C117</f>
        <v>33.03</v>
      </c>
      <c r="E117" s="126"/>
    </row>
    <row r="118" spans="1:8" ht="20.100000000000001" customHeight="1">
      <c r="A118" s="95" t="s">
        <v>4</v>
      </c>
      <c r="B118" s="47" t="s">
        <v>67</v>
      </c>
      <c r="C118" s="60"/>
      <c r="D118" s="41"/>
    </row>
    <row r="119" spans="1:8" ht="20.100000000000001" customHeight="1">
      <c r="A119" s="95"/>
      <c r="B119" s="47" t="s">
        <v>88</v>
      </c>
      <c r="C119" s="61">
        <v>6.4999999999999997E-3</v>
      </c>
      <c r="D119" s="41">
        <f>ROUND((D132+D116+D117)/(1-$C$122)*C119,2)</f>
        <v>30.36</v>
      </c>
      <c r="F119" s="187"/>
    </row>
    <row r="120" spans="1:8" ht="20.100000000000001" customHeight="1">
      <c r="A120" s="95"/>
      <c r="B120" s="47" t="s">
        <v>87</v>
      </c>
      <c r="C120" s="61">
        <v>0.03</v>
      </c>
      <c r="D120" s="41">
        <f>ROUND((D132+D116+D117)/(1-$C$122)*C120,2)</f>
        <v>140.13999999999999</v>
      </c>
      <c r="F120" s="187"/>
    </row>
    <row r="121" spans="1:8" ht="20.100000000000001" customHeight="1">
      <c r="A121" s="52"/>
      <c r="B121" s="47" t="s">
        <v>86</v>
      </c>
      <c r="C121" s="61">
        <v>0.05</v>
      </c>
      <c r="D121" s="41">
        <f>ROUND((D132+D116+D117)/(1-$C$122)*C121,2)</f>
        <v>233.56</v>
      </c>
      <c r="F121" s="70" t="s">
        <v>165</v>
      </c>
      <c r="G121" s="70"/>
      <c r="H121" s="70"/>
    </row>
    <row r="122" spans="1:8" ht="20.100000000000001" customHeight="1">
      <c r="A122" s="95"/>
      <c r="B122" s="62" t="s">
        <v>80</v>
      </c>
      <c r="C122" s="60">
        <f>SUM(C119:C121)</f>
        <v>8.6499999999999994E-2</v>
      </c>
      <c r="D122" s="42">
        <f>ROUND(SUM(D119:D121),2)</f>
        <v>404.06</v>
      </c>
    </row>
    <row r="123" spans="1:8" ht="20.100000000000001" customHeight="1">
      <c r="A123" s="164" t="s">
        <v>81</v>
      </c>
      <c r="B123" s="165"/>
      <c r="C123" s="166"/>
      <c r="D123" s="42">
        <f>ROUND(D122+D116+D117,2)</f>
        <v>441.32</v>
      </c>
    </row>
    <row r="124" spans="1:8" ht="20.100000000000001" customHeight="1">
      <c r="A124" s="63"/>
      <c r="B124" s="32"/>
      <c r="C124" s="32"/>
      <c r="D124" s="32"/>
    </row>
    <row r="125" spans="1:8" ht="20.100000000000001" customHeight="1">
      <c r="A125" s="161" t="s">
        <v>68</v>
      </c>
      <c r="B125" s="161"/>
      <c r="C125" s="161"/>
      <c r="D125" s="161"/>
    </row>
    <row r="126" spans="1:8" ht="20.100000000000001" customHeight="1">
      <c r="A126" s="52"/>
      <c r="B126" s="159" t="s">
        <v>69</v>
      </c>
      <c r="C126" s="159"/>
      <c r="D126" s="95" t="s">
        <v>9</v>
      </c>
    </row>
    <row r="127" spans="1:8" ht="20.100000000000001" customHeight="1">
      <c r="A127" s="95" t="s">
        <v>1</v>
      </c>
      <c r="B127" s="155" t="s">
        <v>26</v>
      </c>
      <c r="C127" s="155"/>
      <c r="D127" s="64">
        <f>ROUND(D27,2)</f>
        <v>1884</v>
      </c>
      <c r="F127" s="27" t="s">
        <v>132</v>
      </c>
    </row>
    <row r="128" spans="1:8" ht="25.5">
      <c r="A128" s="95" t="s">
        <v>3</v>
      </c>
      <c r="B128" s="155" t="s">
        <v>70</v>
      </c>
      <c r="C128" s="155"/>
      <c r="D128" s="65">
        <f>ROUND(D67,2)</f>
        <v>1803.89</v>
      </c>
      <c r="F128" s="27" t="s">
        <v>133</v>
      </c>
      <c r="G128" s="2"/>
    </row>
    <row r="129" spans="1:7" ht="25.5">
      <c r="A129" s="95" t="s">
        <v>4</v>
      </c>
      <c r="B129" s="155" t="s">
        <v>52</v>
      </c>
      <c r="C129" s="155"/>
      <c r="D129" s="64">
        <f>ROUND(D77,2)</f>
        <v>133.63999999999999</v>
      </c>
      <c r="F129" s="27" t="s">
        <v>134</v>
      </c>
    </row>
    <row r="130" spans="1:7" ht="25.5">
      <c r="A130" s="95" t="s">
        <v>5</v>
      </c>
      <c r="B130" s="155" t="s">
        <v>56</v>
      </c>
      <c r="C130" s="155"/>
      <c r="D130" s="64">
        <f>ROUND(D101,2)</f>
        <v>320.23</v>
      </c>
      <c r="F130" s="27" t="s">
        <v>135</v>
      </c>
    </row>
    <row r="131" spans="1:7" ht="25.5">
      <c r="A131" s="95" t="s">
        <v>12</v>
      </c>
      <c r="B131" s="155" t="s">
        <v>71</v>
      </c>
      <c r="C131" s="155"/>
      <c r="D131" s="64">
        <f>ROUND(D112,2)</f>
        <v>88.12</v>
      </c>
      <c r="F131" s="27" t="s">
        <v>136</v>
      </c>
    </row>
    <row r="132" spans="1:7" ht="25.5">
      <c r="A132" s="159" t="s">
        <v>72</v>
      </c>
      <c r="B132" s="159"/>
      <c r="C132" s="159"/>
      <c r="D132" s="64">
        <f>ROUND(SUM(D127:D131),2)</f>
        <v>4229.88</v>
      </c>
      <c r="F132" s="27" t="s">
        <v>137</v>
      </c>
    </row>
    <row r="133" spans="1:7" ht="20.100000000000001" customHeight="1">
      <c r="A133" s="95" t="s">
        <v>13</v>
      </c>
      <c r="B133" s="155" t="s">
        <v>73</v>
      </c>
      <c r="C133" s="155"/>
      <c r="D133" s="64">
        <f>ROUND(D123,2)</f>
        <v>441.32</v>
      </c>
    </row>
    <row r="134" spans="1:7" ht="20.100000000000001" customHeight="1">
      <c r="A134" s="159" t="s">
        <v>82</v>
      </c>
      <c r="B134" s="159"/>
      <c r="C134" s="159"/>
      <c r="D134" s="64">
        <f>ROUND(D132+D133,2)</f>
        <v>4671.2</v>
      </c>
    </row>
    <row r="135" spans="1:7" ht="20.100000000000001" customHeight="1">
      <c r="A135" s="63"/>
      <c r="B135" s="32"/>
      <c r="C135" s="32"/>
      <c r="D135" s="32"/>
    </row>
    <row r="136" spans="1:7" ht="20.100000000000001" customHeight="1">
      <c r="A136" s="161" t="s">
        <v>74</v>
      </c>
      <c r="B136" s="161"/>
      <c r="C136" s="161"/>
      <c r="D136" s="161"/>
    </row>
    <row r="137" spans="1:7" ht="20.100000000000001" customHeight="1">
      <c r="A137" s="159" t="s">
        <v>75</v>
      </c>
      <c r="B137" s="159"/>
      <c r="C137" s="159"/>
      <c r="D137" s="159"/>
    </row>
    <row r="138" spans="1:7" ht="20.100000000000001" customHeight="1">
      <c r="A138" s="52"/>
      <c r="B138" s="159" t="s">
        <v>76</v>
      </c>
      <c r="C138" s="159"/>
      <c r="D138" s="95" t="s">
        <v>77</v>
      </c>
    </row>
    <row r="139" spans="1:7" ht="20.100000000000001" customHeight="1">
      <c r="A139" s="95" t="s">
        <v>1</v>
      </c>
      <c r="B139" s="155" t="s">
        <v>143</v>
      </c>
      <c r="C139" s="155"/>
      <c r="D139" s="66">
        <f>D134</f>
        <v>4671.2</v>
      </c>
      <c r="G139" s="9"/>
    </row>
    <row r="140" spans="1:7" ht="20.100000000000001" customHeight="1">
      <c r="A140" s="95" t="s">
        <v>3</v>
      </c>
      <c r="B140" s="155" t="s">
        <v>96</v>
      </c>
      <c r="C140" s="155"/>
      <c r="D140" s="67">
        <f>D14</f>
        <v>1</v>
      </c>
    </row>
    <row r="141" spans="1:7" ht="20.100000000000001" customHeight="1">
      <c r="A141" s="95" t="s">
        <v>4</v>
      </c>
      <c r="B141" s="155" t="s">
        <v>144</v>
      </c>
      <c r="C141" s="155"/>
      <c r="D141" s="68">
        <f>D139*D140</f>
        <v>4671.2</v>
      </c>
    </row>
    <row r="142" spans="1:7" ht="30.75" customHeight="1">
      <c r="A142" s="95" t="s">
        <v>5</v>
      </c>
      <c r="B142" s="155" t="s">
        <v>78</v>
      </c>
      <c r="C142" s="155"/>
      <c r="D142" s="69">
        <f>D141*30</f>
        <v>140136</v>
      </c>
    </row>
    <row r="144" spans="1:7">
      <c r="A144" s="162"/>
      <c r="B144" s="162"/>
      <c r="C144" s="162"/>
      <c r="D144" s="162"/>
    </row>
    <row r="148" spans="1:4">
      <c r="A148" s="162"/>
      <c r="B148" s="162"/>
      <c r="C148" s="162"/>
      <c r="D148" s="162"/>
    </row>
    <row r="149" spans="1:4">
      <c r="A149" s="162"/>
      <c r="B149" s="162"/>
      <c r="C149" s="162"/>
      <c r="D149" s="162"/>
    </row>
    <row r="150" spans="1:4">
      <c r="A150" s="162"/>
      <c r="B150" s="162"/>
      <c r="C150" s="162"/>
      <c r="D150" s="162"/>
    </row>
    <row r="151" spans="1:4">
      <c r="A151" s="162"/>
      <c r="B151" s="162"/>
      <c r="C151" s="162"/>
      <c r="D151" s="162"/>
    </row>
  </sheetData>
  <mergeCells count="108">
    <mergeCell ref="A144:D144"/>
    <mergeCell ref="A148:D148"/>
    <mergeCell ref="A149:D149"/>
    <mergeCell ref="A150:D150"/>
    <mergeCell ref="A151:D151"/>
    <mergeCell ref="A137:D137"/>
    <mergeCell ref="B138:C138"/>
    <mergeCell ref="B139:C139"/>
    <mergeCell ref="B140:C140"/>
    <mergeCell ref="B141:C141"/>
    <mergeCell ref="B142:C142"/>
    <mergeCell ref="B130:C130"/>
    <mergeCell ref="B131:C131"/>
    <mergeCell ref="A132:C132"/>
    <mergeCell ref="B133:C133"/>
    <mergeCell ref="A134:C134"/>
    <mergeCell ref="A136:D136"/>
    <mergeCell ref="A123:C123"/>
    <mergeCell ref="A125:D125"/>
    <mergeCell ref="B126:C126"/>
    <mergeCell ref="B127:C127"/>
    <mergeCell ref="B128:C128"/>
    <mergeCell ref="B129:C129"/>
    <mergeCell ref="B110:C110"/>
    <mergeCell ref="B111:C111"/>
    <mergeCell ref="A112:C112"/>
    <mergeCell ref="A113:C113"/>
    <mergeCell ref="A114:D114"/>
    <mergeCell ref="F119:F120"/>
    <mergeCell ref="B104:C104"/>
    <mergeCell ref="B105:C105"/>
    <mergeCell ref="B106:C106"/>
    <mergeCell ref="B107:C107"/>
    <mergeCell ref="B108:C108"/>
    <mergeCell ref="B109:C109"/>
    <mergeCell ref="A97:D97"/>
    <mergeCell ref="B98:C98"/>
    <mergeCell ref="B99:C99"/>
    <mergeCell ref="B100:C100"/>
    <mergeCell ref="A101:C101"/>
    <mergeCell ref="A103:D103"/>
    <mergeCell ref="F87:K87"/>
    <mergeCell ref="F88:H88"/>
    <mergeCell ref="F89:K89"/>
    <mergeCell ref="A90:B90"/>
    <mergeCell ref="A92:D92"/>
    <mergeCell ref="A95:C95"/>
    <mergeCell ref="A79:D79"/>
    <mergeCell ref="A81:D81"/>
    <mergeCell ref="F83:H83"/>
    <mergeCell ref="F84:H84"/>
    <mergeCell ref="F85:K85"/>
    <mergeCell ref="F86:K86"/>
    <mergeCell ref="F72:H72"/>
    <mergeCell ref="F73:K73"/>
    <mergeCell ref="F74:K74"/>
    <mergeCell ref="F75:H75"/>
    <mergeCell ref="F76:H76"/>
    <mergeCell ref="A77:B77"/>
    <mergeCell ref="B64:C64"/>
    <mergeCell ref="B65:C65"/>
    <mergeCell ref="B66:C66"/>
    <mergeCell ref="A67:C67"/>
    <mergeCell ref="A69:D69"/>
    <mergeCell ref="F71:K71"/>
    <mergeCell ref="B57:C57"/>
    <mergeCell ref="B58:C58"/>
    <mergeCell ref="B59:C59"/>
    <mergeCell ref="A60:C60"/>
    <mergeCell ref="A62:D62"/>
    <mergeCell ref="B63:C63"/>
    <mergeCell ref="A51:D51"/>
    <mergeCell ref="B52:C52"/>
    <mergeCell ref="B53:C53"/>
    <mergeCell ref="B54:C54"/>
    <mergeCell ref="B55:C55"/>
    <mergeCell ref="B56:C56"/>
    <mergeCell ref="A27:C27"/>
    <mergeCell ref="A29:D29"/>
    <mergeCell ref="A31:D31"/>
    <mergeCell ref="A37:B37"/>
    <mergeCell ref="A39:D39"/>
    <mergeCell ref="A49:B49"/>
    <mergeCell ref="B21:C21"/>
    <mergeCell ref="B22:C22"/>
    <mergeCell ref="B23:C23"/>
    <mergeCell ref="B24:C24"/>
    <mergeCell ref="B25:C25"/>
    <mergeCell ref="B26:C26"/>
    <mergeCell ref="D14:D15"/>
    <mergeCell ref="A16:C16"/>
    <mergeCell ref="A17:C17"/>
    <mergeCell ref="A18:C18"/>
    <mergeCell ref="A19:D19"/>
    <mergeCell ref="B20:C20"/>
    <mergeCell ref="B8:C8"/>
    <mergeCell ref="B9:C9"/>
    <mergeCell ref="B10:C10"/>
    <mergeCell ref="B11:C11"/>
    <mergeCell ref="A13:B13"/>
    <mergeCell ref="A14:B15"/>
    <mergeCell ref="C14:C15"/>
    <mergeCell ref="A1:D1"/>
    <mergeCell ref="A2:D2"/>
    <mergeCell ref="A3:D3"/>
    <mergeCell ref="A4:D4"/>
    <mergeCell ref="B5:D5"/>
    <mergeCell ref="A7:D7"/>
  </mergeCells>
  <printOptions horizontalCentered="1"/>
  <pageMargins left="0.39370078740157483" right="0.39370078740157483" top="1.9685039370078741" bottom="0.78740157480314965" header="0" footer="0"/>
  <pageSetup paperSize="9" scale="80" fitToHeight="0" orientation="portrait" r:id="rId1"/>
  <rowBreaks count="1" manualBreakCount="1">
    <brk id="67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1"/>
  <sheetViews>
    <sheetView zoomScale="70" zoomScaleNormal="70" zoomScaleSheetLayoutView="110" workbookViewId="0">
      <selection activeCell="D143" sqref="D143"/>
    </sheetView>
  </sheetViews>
  <sheetFormatPr defaultColWidth="9.140625" defaultRowHeight="12.75"/>
  <cols>
    <col min="1" max="1" width="6" style="100" customWidth="1"/>
    <col min="2" max="2" width="62.7109375" style="1" customWidth="1"/>
    <col min="3" max="3" width="18.5703125" style="1" customWidth="1"/>
    <col min="4" max="4" width="30.7109375" style="1" customWidth="1"/>
    <col min="5" max="5" width="17.42578125" style="1" customWidth="1"/>
    <col min="6" max="6" width="102.42578125" style="1" customWidth="1"/>
    <col min="7" max="7" width="10.5703125" style="1" customWidth="1"/>
    <col min="8" max="8" width="43.85546875" style="1" customWidth="1"/>
    <col min="9" max="10" width="9.140625" style="1"/>
    <col min="11" max="11" width="11" style="1" customWidth="1"/>
    <col min="12" max="16384" width="9.140625" style="1"/>
  </cols>
  <sheetData>
    <row r="1" spans="1:4">
      <c r="A1" s="173" t="s">
        <v>93</v>
      </c>
      <c r="B1" s="173"/>
      <c r="C1" s="173"/>
      <c r="D1" s="173"/>
    </row>
    <row r="2" spans="1:4" ht="4.5" customHeight="1">
      <c r="A2" s="173"/>
      <c r="B2" s="173"/>
      <c r="C2" s="173"/>
      <c r="D2" s="173"/>
    </row>
    <row r="3" spans="1:4" ht="20.100000000000001" customHeight="1">
      <c r="A3" s="181" t="s">
        <v>315</v>
      </c>
      <c r="B3" s="179"/>
      <c r="C3" s="179"/>
      <c r="D3" s="180"/>
    </row>
    <row r="4" spans="1:4" ht="20.100000000000001" customHeight="1">
      <c r="A4" s="181" t="s">
        <v>316</v>
      </c>
      <c r="B4" s="179"/>
      <c r="C4" s="179"/>
      <c r="D4" s="180"/>
    </row>
    <row r="5" spans="1:4" ht="20.100000000000001" customHeight="1">
      <c r="A5" s="28"/>
      <c r="B5" s="178"/>
      <c r="C5" s="179"/>
      <c r="D5" s="180"/>
    </row>
    <row r="6" spans="1:4" ht="20.100000000000001" customHeight="1">
      <c r="A6" s="29"/>
      <c r="B6" s="30"/>
      <c r="C6" s="31"/>
      <c r="D6" s="32"/>
    </row>
    <row r="7" spans="1:4" ht="20.100000000000001" customHeight="1">
      <c r="A7" s="174" t="s">
        <v>0</v>
      </c>
      <c r="B7" s="175"/>
      <c r="C7" s="175"/>
      <c r="D7" s="176"/>
    </row>
    <row r="8" spans="1:4" ht="20.100000000000001" customHeight="1">
      <c r="A8" s="96" t="s">
        <v>1</v>
      </c>
      <c r="B8" s="177" t="s">
        <v>2</v>
      </c>
      <c r="C8" s="177"/>
      <c r="D8" s="34">
        <v>45783</v>
      </c>
    </row>
    <row r="9" spans="1:4" ht="30" customHeight="1">
      <c r="A9" s="96" t="s">
        <v>3</v>
      </c>
      <c r="B9" s="177" t="s">
        <v>159</v>
      </c>
      <c r="C9" s="177"/>
      <c r="D9" s="94" t="s">
        <v>317</v>
      </c>
    </row>
    <row r="10" spans="1:4" ht="20.100000000000001" customHeight="1">
      <c r="A10" s="96" t="s">
        <v>4</v>
      </c>
      <c r="B10" s="177" t="s">
        <v>142</v>
      </c>
      <c r="C10" s="177"/>
      <c r="D10" s="36" t="str">
        <f>VLOOKUP(A14,'Entrada de dados'!$A$1:$N$8,2,FALSE)</f>
        <v>PR000074/2025</v>
      </c>
    </row>
    <row r="11" spans="1:4" ht="20.100000000000001" customHeight="1">
      <c r="A11" s="96" t="s">
        <v>5</v>
      </c>
      <c r="B11" s="177" t="s">
        <v>6</v>
      </c>
      <c r="C11" s="177"/>
      <c r="D11" s="37">
        <v>30</v>
      </c>
    </row>
    <row r="12" spans="1:4" ht="20.100000000000001" customHeight="1">
      <c r="A12" s="31"/>
      <c r="B12" s="38"/>
      <c r="C12" s="31"/>
      <c r="D12" s="32"/>
    </row>
    <row r="13" spans="1:4" ht="27" customHeight="1">
      <c r="A13" s="156" t="s">
        <v>91</v>
      </c>
      <c r="B13" s="156"/>
      <c r="C13" s="94" t="s">
        <v>90</v>
      </c>
      <c r="D13" s="94" t="s">
        <v>100</v>
      </c>
    </row>
    <row r="14" spans="1:4" ht="20.100000000000001" customHeight="1">
      <c r="A14" s="182" t="str">
        <f>'Quadro Resumo'!D9</f>
        <v>SERVENTE DE LIMPEZA</v>
      </c>
      <c r="B14" s="183"/>
      <c r="C14" s="169" t="s">
        <v>92</v>
      </c>
      <c r="D14" s="171">
        <f>VLOOKUP(A14,'Quadro Resumo'!D3:G13,4,FALSE)</f>
        <v>42</v>
      </c>
    </row>
    <row r="15" spans="1:4" ht="20.100000000000001" customHeight="1">
      <c r="A15" s="184"/>
      <c r="B15" s="185"/>
      <c r="C15" s="170"/>
      <c r="D15" s="172"/>
    </row>
    <row r="16" spans="1:4" ht="20.100000000000001" customHeight="1">
      <c r="A16" s="152" t="s">
        <v>174</v>
      </c>
      <c r="B16" s="153"/>
      <c r="C16" s="154"/>
      <c r="D16" s="93">
        <v>44</v>
      </c>
    </row>
    <row r="17" spans="1:6" ht="20.100000000000001" customHeight="1">
      <c r="A17" s="152" t="s">
        <v>160</v>
      </c>
      <c r="B17" s="153"/>
      <c r="C17" s="154"/>
      <c r="D17" s="79">
        <v>45689</v>
      </c>
    </row>
    <row r="18" spans="1:6" ht="20.100000000000001" customHeight="1">
      <c r="A18" s="190"/>
      <c r="B18" s="190"/>
      <c r="C18" s="190"/>
      <c r="D18" s="39"/>
    </row>
    <row r="19" spans="1:6" ht="20.100000000000001" customHeight="1">
      <c r="A19" s="158" t="s">
        <v>7</v>
      </c>
      <c r="B19" s="158"/>
      <c r="C19" s="158"/>
      <c r="D19" s="158"/>
    </row>
    <row r="20" spans="1:6" ht="20.100000000000001" customHeight="1">
      <c r="A20" s="40">
        <v>1</v>
      </c>
      <c r="B20" s="156" t="s">
        <v>8</v>
      </c>
      <c r="C20" s="156"/>
      <c r="D20" s="40" t="s">
        <v>9</v>
      </c>
    </row>
    <row r="21" spans="1:6" ht="20.100000000000001" customHeight="1">
      <c r="A21" s="94" t="s">
        <v>1</v>
      </c>
      <c r="B21" s="160" t="s">
        <v>10</v>
      </c>
      <c r="C21" s="160"/>
      <c r="D21" s="41">
        <f>VLOOKUP(A14,'Entrada de dados'!A2:H8,3,FALSE)/44*'6'!D16</f>
        <v>1764</v>
      </c>
      <c r="F21" s="26" t="s">
        <v>138</v>
      </c>
    </row>
    <row r="22" spans="1:6" ht="20.100000000000001" customHeight="1">
      <c r="A22" s="94" t="s">
        <v>3</v>
      </c>
      <c r="B22" s="160" t="s">
        <v>99</v>
      </c>
      <c r="C22" s="160"/>
      <c r="D22" s="41"/>
      <c r="F22" s="26" t="s">
        <v>161</v>
      </c>
    </row>
    <row r="23" spans="1:6" ht="20.100000000000001" customHeight="1">
      <c r="A23" s="94" t="s">
        <v>4</v>
      </c>
      <c r="B23" s="160" t="s">
        <v>98</v>
      </c>
      <c r="C23" s="160"/>
      <c r="D23" s="41">
        <v>0</v>
      </c>
      <c r="F23" s="71" t="s">
        <v>166</v>
      </c>
    </row>
    <row r="24" spans="1:6" ht="20.100000000000001" customHeight="1">
      <c r="A24" s="94" t="s">
        <v>5</v>
      </c>
      <c r="B24" s="160" t="s">
        <v>11</v>
      </c>
      <c r="C24" s="160"/>
      <c r="D24" s="41"/>
      <c r="F24" s="26" t="s">
        <v>161</v>
      </c>
    </row>
    <row r="25" spans="1:6" ht="20.100000000000001" customHeight="1">
      <c r="A25" s="94" t="s">
        <v>12</v>
      </c>
      <c r="B25" s="160" t="s">
        <v>29</v>
      </c>
      <c r="C25" s="160"/>
      <c r="D25" s="41"/>
      <c r="F25" s="26" t="s">
        <v>161</v>
      </c>
    </row>
    <row r="26" spans="1:6" ht="20.100000000000001" customHeight="1">
      <c r="A26" s="94" t="s">
        <v>13</v>
      </c>
      <c r="B26" s="160" t="s">
        <v>319</v>
      </c>
      <c r="C26" s="160"/>
      <c r="D26" s="41">
        <v>0</v>
      </c>
      <c r="F26" s="26" t="s">
        <v>161</v>
      </c>
    </row>
    <row r="27" spans="1:6" ht="20.100000000000001" customHeight="1">
      <c r="A27" s="156" t="s">
        <v>16</v>
      </c>
      <c r="B27" s="156"/>
      <c r="C27" s="156"/>
      <c r="D27" s="42">
        <f>SUM(D21:D26)</f>
        <v>1764</v>
      </c>
    </row>
    <row r="28" spans="1:6" ht="20.100000000000001" customHeight="1">
      <c r="A28" s="31"/>
      <c r="B28" s="38"/>
      <c r="C28" s="31"/>
      <c r="D28" s="43"/>
    </row>
    <row r="29" spans="1:6" ht="20.100000000000001" customHeight="1">
      <c r="A29" s="191" t="s">
        <v>30</v>
      </c>
      <c r="B29" s="191"/>
      <c r="C29" s="191"/>
      <c r="D29" s="191"/>
    </row>
    <row r="30" spans="1:6" ht="20.100000000000001" customHeight="1">
      <c r="A30" s="97"/>
      <c r="B30" s="99"/>
      <c r="C30" s="99"/>
      <c r="D30" s="43"/>
    </row>
    <row r="31" spans="1:6" ht="20.100000000000001" customHeight="1">
      <c r="A31" s="158" t="s">
        <v>31</v>
      </c>
      <c r="B31" s="158"/>
      <c r="C31" s="158"/>
      <c r="D31" s="158"/>
    </row>
    <row r="32" spans="1:6" ht="20.100000000000001" customHeight="1">
      <c r="A32" s="96" t="s">
        <v>32</v>
      </c>
      <c r="B32" s="96" t="s">
        <v>102</v>
      </c>
      <c r="C32" s="95" t="s">
        <v>38</v>
      </c>
      <c r="D32" s="96" t="s">
        <v>9</v>
      </c>
    </row>
    <row r="33" spans="1:13" ht="20.100000000000001" customHeight="1">
      <c r="A33" s="96" t="s">
        <v>1</v>
      </c>
      <c r="B33" s="47" t="s">
        <v>27</v>
      </c>
      <c r="C33" s="48">
        <v>8.3299999999999999E-2</v>
      </c>
      <c r="D33" s="49">
        <f>ROUND($D$27*C33,2)</f>
        <v>146.94</v>
      </c>
      <c r="F33" s="1" t="s">
        <v>113</v>
      </c>
    </row>
    <row r="34" spans="1:13" ht="20.100000000000001" customHeight="1">
      <c r="A34" s="96" t="s">
        <v>3</v>
      </c>
      <c r="B34" s="47" t="s">
        <v>184</v>
      </c>
      <c r="C34" s="48">
        <v>2.7799999999999998E-2</v>
      </c>
      <c r="D34" s="49">
        <f>ROUND($D$27*C34,2)</f>
        <v>49.04</v>
      </c>
      <c r="F34" s="25" t="s">
        <v>164</v>
      </c>
    </row>
    <row r="35" spans="1:13" ht="20.100000000000001" customHeight="1">
      <c r="A35" s="96" t="s">
        <v>4</v>
      </c>
      <c r="B35" s="50" t="s">
        <v>94</v>
      </c>
      <c r="C35" s="51">
        <f>SUM(C33:C34)</f>
        <v>0.1111</v>
      </c>
      <c r="D35" s="42">
        <f>SUM(D33:D34)</f>
        <v>195.98</v>
      </c>
    </row>
    <row r="36" spans="1:13" ht="20.100000000000001" customHeight="1">
      <c r="A36" s="96" t="s">
        <v>5</v>
      </c>
      <c r="B36" s="47" t="s">
        <v>95</v>
      </c>
      <c r="C36" s="48">
        <f>C35*C49</f>
        <v>0.04</v>
      </c>
      <c r="D36" s="49">
        <f>ROUND($D$27*C36,2)</f>
        <v>70.56</v>
      </c>
    </row>
    <row r="37" spans="1:13" ht="20.100000000000001" customHeight="1">
      <c r="A37" s="158" t="s">
        <v>34</v>
      </c>
      <c r="B37" s="158"/>
      <c r="C37" s="51">
        <f>SUM(C35:C36)</f>
        <v>0.15110000000000001</v>
      </c>
      <c r="D37" s="42">
        <f>SUM(D35:D36)</f>
        <v>266.54000000000002</v>
      </c>
      <c r="M37" s="5"/>
    </row>
    <row r="38" spans="1:13" ht="20.100000000000001" customHeight="1">
      <c r="A38" s="97"/>
      <c r="B38" s="97"/>
      <c r="C38" s="97"/>
      <c r="D38" s="43"/>
    </row>
    <row r="39" spans="1:13" ht="33" customHeight="1">
      <c r="A39" s="159" t="s">
        <v>35</v>
      </c>
      <c r="B39" s="159"/>
      <c r="C39" s="159"/>
      <c r="D39" s="159"/>
    </row>
    <row r="40" spans="1:13" ht="33.75" customHeight="1">
      <c r="A40" s="95" t="s">
        <v>36</v>
      </c>
      <c r="B40" s="50" t="s">
        <v>37</v>
      </c>
      <c r="C40" s="95" t="s">
        <v>38</v>
      </c>
      <c r="D40" s="95" t="s">
        <v>9</v>
      </c>
      <c r="E40" s="2"/>
    </row>
    <row r="41" spans="1:13" ht="20.100000000000001" customHeight="1">
      <c r="A41" s="52" t="s">
        <v>1</v>
      </c>
      <c r="B41" s="47" t="s">
        <v>39</v>
      </c>
      <c r="C41" s="48">
        <v>0.2</v>
      </c>
      <c r="D41" s="49">
        <f t="shared" ref="D41:D48" si="0">ROUND($D$27*C41,2)</f>
        <v>352.8</v>
      </c>
      <c r="F41" s="72" t="s">
        <v>114</v>
      </c>
    </row>
    <row r="42" spans="1:13" ht="20.100000000000001" customHeight="1">
      <c r="A42" s="52" t="s">
        <v>3</v>
      </c>
      <c r="B42" s="47" t="s">
        <v>40</v>
      </c>
      <c r="C42" s="48">
        <v>2.5000000000000001E-2</v>
      </c>
      <c r="D42" s="49">
        <f t="shared" si="0"/>
        <v>44.1</v>
      </c>
      <c r="F42" s="72" t="s">
        <v>115</v>
      </c>
    </row>
    <row r="43" spans="1:13" ht="20.100000000000001" customHeight="1">
      <c r="A43" s="52" t="s">
        <v>4</v>
      </c>
      <c r="B43" s="47" t="s">
        <v>41</v>
      </c>
      <c r="C43" s="48">
        <f>2%*1.0942</f>
        <v>2.1899999999999999E-2</v>
      </c>
      <c r="D43" s="49">
        <f t="shared" si="0"/>
        <v>38.630000000000003</v>
      </c>
      <c r="F43" s="72" t="s">
        <v>116</v>
      </c>
    </row>
    <row r="44" spans="1:13" ht="20.100000000000001" customHeight="1">
      <c r="A44" s="52" t="s">
        <v>5</v>
      </c>
      <c r="B44" s="47" t="s">
        <v>42</v>
      </c>
      <c r="C44" s="48">
        <v>1.4999999999999999E-2</v>
      </c>
      <c r="D44" s="49">
        <f t="shared" si="0"/>
        <v>26.46</v>
      </c>
      <c r="F44" s="72" t="s">
        <v>117</v>
      </c>
    </row>
    <row r="45" spans="1:13" ht="20.100000000000001" customHeight="1">
      <c r="A45" s="52" t="s">
        <v>12</v>
      </c>
      <c r="B45" s="47" t="s">
        <v>43</v>
      </c>
      <c r="C45" s="48">
        <v>0.01</v>
      </c>
      <c r="D45" s="49">
        <f t="shared" si="0"/>
        <v>17.64</v>
      </c>
      <c r="F45" s="72" t="s">
        <v>118</v>
      </c>
    </row>
    <row r="46" spans="1:13" ht="20.100000000000001" customHeight="1">
      <c r="A46" s="52" t="s">
        <v>13</v>
      </c>
      <c r="B46" s="47" t="s">
        <v>44</v>
      </c>
      <c r="C46" s="48">
        <v>6.0000000000000001E-3</v>
      </c>
      <c r="D46" s="49">
        <f t="shared" si="0"/>
        <v>10.58</v>
      </c>
      <c r="F46" s="72" t="s">
        <v>119</v>
      </c>
    </row>
    <row r="47" spans="1:13" ht="20.100000000000001" customHeight="1">
      <c r="A47" s="52" t="s">
        <v>14</v>
      </c>
      <c r="B47" s="47" t="s">
        <v>45</v>
      </c>
      <c r="C47" s="48">
        <v>2E-3</v>
      </c>
      <c r="D47" s="49">
        <f t="shared" si="0"/>
        <v>3.53</v>
      </c>
      <c r="F47" s="72" t="s">
        <v>120</v>
      </c>
    </row>
    <row r="48" spans="1:13" ht="20.100000000000001" customHeight="1">
      <c r="A48" s="52" t="s">
        <v>15</v>
      </c>
      <c r="B48" s="47" t="s">
        <v>46</v>
      </c>
      <c r="C48" s="48">
        <v>0.08</v>
      </c>
      <c r="D48" s="49">
        <f t="shared" si="0"/>
        <v>141.12</v>
      </c>
      <c r="F48" s="72" t="s">
        <v>121</v>
      </c>
    </row>
    <row r="49" spans="1:13" ht="20.100000000000001" customHeight="1">
      <c r="A49" s="159" t="s">
        <v>22</v>
      </c>
      <c r="B49" s="159"/>
      <c r="C49" s="51">
        <f>ROUND(SUM(C41:C48),4)</f>
        <v>0.3599</v>
      </c>
      <c r="D49" s="42">
        <f>ROUND(SUM(D41:D48),2)</f>
        <v>634.86</v>
      </c>
      <c r="F49" s="25" t="s">
        <v>122</v>
      </c>
      <c r="M49" s="5"/>
    </row>
    <row r="50" spans="1:13" ht="20.100000000000001" customHeight="1">
      <c r="A50" s="97"/>
      <c r="B50" s="97"/>
      <c r="C50" s="97"/>
      <c r="D50" s="43"/>
    </row>
    <row r="51" spans="1:13" ht="20.100000000000001" customHeight="1">
      <c r="A51" s="161" t="s">
        <v>47</v>
      </c>
      <c r="B51" s="161"/>
      <c r="C51" s="161"/>
      <c r="D51" s="161"/>
    </row>
    <row r="52" spans="1:13" ht="20.100000000000001" customHeight="1">
      <c r="A52" s="94" t="s">
        <v>48</v>
      </c>
      <c r="B52" s="156" t="s">
        <v>17</v>
      </c>
      <c r="C52" s="156"/>
      <c r="D52" s="94" t="s">
        <v>9</v>
      </c>
      <c r="F52" s="14" t="s">
        <v>104</v>
      </c>
      <c r="G52" s="8"/>
      <c r="K52" s="5"/>
    </row>
    <row r="53" spans="1:13" ht="20.100000000000001" customHeight="1">
      <c r="A53" s="94" t="s">
        <v>1</v>
      </c>
      <c r="B53" s="155" t="s">
        <v>101</v>
      </c>
      <c r="C53" s="155"/>
      <c r="D53" s="41">
        <f>IF(((F55*2*F53)-(D21*0.06))&lt;0,0,((F55*2*F53)-(D21*0.06)))</f>
        <v>0</v>
      </c>
      <c r="F53" s="16">
        <v>22</v>
      </c>
      <c r="G53" s="8"/>
      <c r="H53" s="26" t="s">
        <v>163</v>
      </c>
      <c r="K53" s="5"/>
    </row>
    <row r="54" spans="1:13" ht="20.100000000000001" customHeight="1">
      <c r="A54" s="94" t="s">
        <v>3</v>
      </c>
      <c r="B54" s="157" t="s">
        <v>112</v>
      </c>
      <c r="C54" s="157"/>
      <c r="D54" s="41">
        <f>F57*1*(1-F59)</f>
        <v>644</v>
      </c>
      <c r="F54" s="14" t="s">
        <v>145</v>
      </c>
      <c r="G54" s="8"/>
      <c r="H54" s="26" t="s">
        <v>163</v>
      </c>
      <c r="K54" s="5"/>
    </row>
    <row r="55" spans="1:13" ht="20.100000000000001" customHeight="1">
      <c r="A55" s="94" t="s">
        <v>4</v>
      </c>
      <c r="B55" s="155" t="s">
        <v>175</v>
      </c>
      <c r="C55" s="155"/>
      <c r="D55" s="41">
        <f>VLOOKUP(A14,'Entrada de dados'!A2:H8,5,FALSE)</f>
        <v>28</v>
      </c>
      <c r="F55" s="15">
        <v>0</v>
      </c>
      <c r="G55" s="8"/>
      <c r="H55" s="26" t="s">
        <v>320</v>
      </c>
      <c r="K55" s="5"/>
    </row>
    <row r="56" spans="1:13" ht="20.100000000000001" customHeight="1">
      <c r="A56" s="94" t="s">
        <v>5</v>
      </c>
      <c r="B56" s="155" t="s">
        <v>176</v>
      </c>
      <c r="C56" s="155"/>
      <c r="D56" s="41">
        <f>VLOOKUP(A14,'Entrada de dados'!A2:H8,6,FALSE)</f>
        <v>28</v>
      </c>
      <c r="F56" s="14" t="s">
        <v>105</v>
      </c>
      <c r="G56" s="8"/>
      <c r="H56" s="26" t="s">
        <v>163</v>
      </c>
      <c r="K56" s="5"/>
    </row>
    <row r="57" spans="1:13" ht="20.100000000000001" customHeight="1">
      <c r="A57" s="98" t="s">
        <v>49</v>
      </c>
      <c r="B57" s="155" t="s">
        <v>177</v>
      </c>
      <c r="C57" s="155"/>
      <c r="D57" s="41">
        <f>VLOOKUP(A14,'Entrada de dados'!A2:H8,7,FALSE)</f>
        <v>87.5</v>
      </c>
      <c r="F57" s="15">
        <f>VLOOKUP(A14,'Entrada de dados'!A2:H8,4,FALSE)</f>
        <v>805</v>
      </c>
      <c r="G57" s="8"/>
      <c r="H57" s="26" t="s">
        <v>163</v>
      </c>
      <c r="K57" s="5"/>
    </row>
    <row r="58" spans="1:13" ht="20.100000000000001" customHeight="1">
      <c r="A58" s="98" t="s">
        <v>13</v>
      </c>
      <c r="B58" s="157" t="s">
        <v>178</v>
      </c>
      <c r="C58" s="157"/>
      <c r="D58" s="41">
        <f>VLOOKUP(A14,'Entrada de dados'!A2:H8,8,FALSE)*0.8</f>
        <v>53.66</v>
      </c>
      <c r="F58" s="14" t="s">
        <v>106</v>
      </c>
      <c r="G58" s="8"/>
      <c r="H58" s="26" t="s">
        <v>163</v>
      </c>
      <c r="K58" s="5"/>
    </row>
    <row r="59" spans="1:13" ht="20.100000000000001" customHeight="1">
      <c r="A59" s="98" t="s">
        <v>14</v>
      </c>
      <c r="B59" s="157" t="s">
        <v>179</v>
      </c>
      <c r="C59" s="157"/>
      <c r="D59" s="41">
        <v>0</v>
      </c>
      <c r="F59" s="10">
        <v>0.2</v>
      </c>
      <c r="G59" s="8"/>
      <c r="H59" s="26" t="s">
        <v>163</v>
      </c>
      <c r="K59" s="5"/>
    </row>
    <row r="60" spans="1:13" ht="20.100000000000001" customHeight="1">
      <c r="A60" s="158" t="s">
        <v>18</v>
      </c>
      <c r="B60" s="158"/>
      <c r="C60" s="158"/>
      <c r="D60" s="54">
        <f>ROUND(SUM(D53:D59),2)</f>
        <v>841.16</v>
      </c>
      <c r="F60" s="9"/>
      <c r="G60" s="8"/>
      <c r="K60" s="5"/>
    </row>
    <row r="61" spans="1:13" ht="20.100000000000001" customHeight="1">
      <c r="A61" s="31"/>
      <c r="B61" s="38"/>
      <c r="C61" s="31"/>
      <c r="D61" s="43"/>
      <c r="F61" s="9"/>
      <c r="G61" s="8"/>
      <c r="K61" s="5"/>
    </row>
    <row r="62" spans="1:13" ht="20.100000000000001" customHeight="1">
      <c r="A62" s="158" t="s">
        <v>50</v>
      </c>
      <c r="B62" s="158"/>
      <c r="C62" s="158"/>
      <c r="D62" s="158"/>
      <c r="F62" s="9"/>
      <c r="G62" s="8"/>
      <c r="K62" s="5"/>
    </row>
    <row r="63" spans="1:13" ht="20.100000000000001" customHeight="1">
      <c r="A63" s="95">
        <v>2</v>
      </c>
      <c r="B63" s="159" t="s">
        <v>51</v>
      </c>
      <c r="C63" s="159"/>
      <c r="D63" s="95" t="s">
        <v>9</v>
      </c>
      <c r="F63" s="9"/>
      <c r="G63" s="8"/>
      <c r="K63" s="5"/>
    </row>
    <row r="64" spans="1:13" ht="20.100000000000001" customHeight="1">
      <c r="A64" s="95" t="s">
        <v>32</v>
      </c>
      <c r="B64" s="155" t="s">
        <v>33</v>
      </c>
      <c r="C64" s="155"/>
      <c r="D64" s="49">
        <f>ROUND(D37,2)</f>
        <v>266.54000000000002</v>
      </c>
      <c r="F64" s="9"/>
      <c r="G64" s="8"/>
      <c r="K64" s="5"/>
    </row>
    <row r="65" spans="1:13" ht="20.100000000000001" customHeight="1">
      <c r="A65" s="95" t="s">
        <v>36</v>
      </c>
      <c r="B65" s="155" t="s">
        <v>37</v>
      </c>
      <c r="C65" s="155"/>
      <c r="D65" s="49">
        <f>ROUND(D49,2)</f>
        <v>634.86</v>
      </c>
      <c r="F65" s="9"/>
      <c r="G65" s="8"/>
      <c r="K65" s="5"/>
    </row>
    <row r="66" spans="1:13" ht="20.100000000000001" customHeight="1">
      <c r="A66" s="95" t="s">
        <v>48</v>
      </c>
      <c r="B66" s="155" t="s">
        <v>17</v>
      </c>
      <c r="C66" s="155"/>
      <c r="D66" s="49">
        <f>ROUND(D60,2)</f>
        <v>841.16</v>
      </c>
      <c r="F66" s="9"/>
      <c r="G66" s="8"/>
      <c r="K66" s="5"/>
    </row>
    <row r="67" spans="1:13" ht="20.100000000000001" customHeight="1">
      <c r="A67" s="159" t="s">
        <v>22</v>
      </c>
      <c r="B67" s="159"/>
      <c r="C67" s="159"/>
      <c r="D67" s="42">
        <f>ROUND(SUM(D64:D66),2)</f>
        <v>1742.56</v>
      </c>
      <c r="F67" s="9"/>
      <c r="G67" s="8"/>
      <c r="K67" s="5"/>
    </row>
    <row r="68" spans="1:13" ht="20.100000000000001" customHeight="1">
      <c r="A68" s="31"/>
      <c r="B68" s="38"/>
      <c r="C68" s="31"/>
      <c r="D68" s="43"/>
      <c r="F68" s="9"/>
      <c r="G68" s="8"/>
      <c r="K68" s="5"/>
    </row>
    <row r="69" spans="1:13" ht="20.100000000000001" customHeight="1">
      <c r="A69" s="161" t="s">
        <v>52</v>
      </c>
      <c r="B69" s="161"/>
      <c r="C69" s="161"/>
      <c r="D69" s="161"/>
      <c r="F69" s="9"/>
      <c r="G69" s="8"/>
      <c r="K69" s="5"/>
    </row>
    <row r="70" spans="1:13" ht="20.100000000000001" customHeight="1">
      <c r="A70" s="95">
        <v>3</v>
      </c>
      <c r="B70" s="50" t="s">
        <v>23</v>
      </c>
      <c r="C70" s="95" t="s">
        <v>38</v>
      </c>
      <c r="D70" s="95" t="s">
        <v>9</v>
      </c>
      <c r="F70" s="9"/>
      <c r="G70" s="8"/>
      <c r="K70" s="5"/>
    </row>
    <row r="71" spans="1:13" ht="20.100000000000001" customHeight="1">
      <c r="A71" s="95" t="s">
        <v>1</v>
      </c>
      <c r="B71" s="47" t="s">
        <v>53</v>
      </c>
      <c r="C71" s="55">
        <f>1/12*0.05</f>
        <v>4.1999999999999997E-3</v>
      </c>
      <c r="D71" s="49">
        <f>ROUND(($D$27+$D$94)*C71,2)</f>
        <v>7.41</v>
      </c>
      <c r="F71" s="188" t="s">
        <v>123</v>
      </c>
      <c r="G71" s="188"/>
      <c r="H71" s="188"/>
      <c r="I71" s="188"/>
      <c r="J71" s="188"/>
      <c r="K71" s="188"/>
    </row>
    <row r="72" spans="1:13" ht="20.100000000000001" customHeight="1">
      <c r="A72" s="95" t="s">
        <v>3</v>
      </c>
      <c r="B72" s="47" t="s">
        <v>54</v>
      </c>
      <c r="C72" s="56">
        <f>C71*C48</f>
        <v>3.3599999999999998E-4</v>
      </c>
      <c r="D72" s="49">
        <f>ROUND(($D$27+$D$94)*C72,2)</f>
        <v>0.59</v>
      </c>
      <c r="F72" s="188" t="s">
        <v>124</v>
      </c>
      <c r="G72" s="188"/>
      <c r="H72" s="188"/>
      <c r="K72" s="73"/>
    </row>
    <row r="73" spans="1:13" ht="19.5" customHeight="1">
      <c r="A73" s="95" t="s">
        <v>4</v>
      </c>
      <c r="B73" s="47" t="s">
        <v>108</v>
      </c>
      <c r="C73" s="55">
        <v>6.4999999999999997E-3</v>
      </c>
      <c r="D73" s="49">
        <f>ROUND($D$27*C73,2)</f>
        <v>11.47</v>
      </c>
      <c r="F73" s="188" t="s">
        <v>125</v>
      </c>
      <c r="G73" s="188"/>
      <c r="H73" s="188"/>
      <c r="I73" s="188"/>
      <c r="J73" s="188"/>
      <c r="K73" s="188"/>
    </row>
    <row r="74" spans="1:13" ht="20.100000000000001" customHeight="1">
      <c r="A74" s="95" t="s">
        <v>5</v>
      </c>
      <c r="B74" s="47" t="s">
        <v>97</v>
      </c>
      <c r="C74" s="55">
        <f>7/30/12</f>
        <v>1.9400000000000001E-2</v>
      </c>
      <c r="D74" s="49">
        <f>ROUND(($D$27+$D$94)*C74,2)</f>
        <v>34.22</v>
      </c>
      <c r="F74" s="188" t="s">
        <v>126</v>
      </c>
      <c r="G74" s="188"/>
      <c r="H74" s="188"/>
      <c r="I74" s="188"/>
      <c r="J74" s="188"/>
      <c r="K74" s="188"/>
    </row>
    <row r="75" spans="1:13" ht="32.25" customHeight="1">
      <c r="A75" s="95" t="s">
        <v>12</v>
      </c>
      <c r="B75" s="47" t="s">
        <v>55</v>
      </c>
      <c r="C75" s="55">
        <f>C74*C49</f>
        <v>7.0000000000000001E-3</v>
      </c>
      <c r="D75" s="49">
        <f>ROUND(($D$27+$D$94)*C75,2)</f>
        <v>12.35</v>
      </c>
      <c r="F75" s="188" t="s">
        <v>127</v>
      </c>
      <c r="G75" s="188"/>
      <c r="H75" s="188"/>
      <c r="K75" s="73"/>
    </row>
    <row r="76" spans="1:13" ht="21.75" customHeight="1">
      <c r="A76" s="95" t="s">
        <v>4</v>
      </c>
      <c r="B76" s="47" t="s">
        <v>109</v>
      </c>
      <c r="C76" s="55">
        <v>3.3500000000000002E-2</v>
      </c>
      <c r="D76" s="49">
        <f>ROUND($D$27*C76,2)</f>
        <v>59.09</v>
      </c>
      <c r="F76" s="188" t="s">
        <v>125</v>
      </c>
      <c r="G76" s="188"/>
      <c r="H76" s="188"/>
      <c r="K76" s="73"/>
    </row>
    <row r="77" spans="1:13" ht="20.100000000000001" customHeight="1">
      <c r="A77" s="159" t="s">
        <v>22</v>
      </c>
      <c r="B77" s="159"/>
      <c r="C77" s="57">
        <f>ROUND(SUM(C71:C76),4)</f>
        <v>7.0900000000000005E-2</v>
      </c>
      <c r="D77" s="54">
        <f>ROUND(SUM(D71:D76),2)</f>
        <v>125.13</v>
      </c>
      <c r="F77" s="9"/>
      <c r="G77" s="8"/>
      <c r="K77" s="5"/>
      <c r="M77" s="5"/>
    </row>
    <row r="78" spans="1:13" ht="20.100000000000001" customHeight="1">
      <c r="A78" s="99"/>
      <c r="B78" s="99"/>
      <c r="C78" s="99"/>
      <c r="D78" s="43"/>
      <c r="F78" s="9"/>
      <c r="G78" s="8"/>
      <c r="K78" s="5"/>
    </row>
    <row r="79" spans="1:13" ht="20.100000000000001" customHeight="1">
      <c r="A79" s="168" t="s">
        <v>56</v>
      </c>
      <c r="B79" s="168"/>
      <c r="C79" s="168"/>
      <c r="D79" s="168"/>
      <c r="F79" s="9"/>
      <c r="G79" s="8"/>
      <c r="K79" s="5"/>
      <c r="L79" s="3"/>
    </row>
    <row r="80" spans="1:13" ht="20.100000000000001" customHeight="1">
      <c r="A80" s="99"/>
      <c r="B80" s="99"/>
      <c r="C80" s="99"/>
      <c r="D80" s="99"/>
      <c r="K80" s="6"/>
    </row>
    <row r="81" spans="1:13" ht="20.100000000000001" customHeight="1">
      <c r="A81" s="161" t="s">
        <v>57</v>
      </c>
      <c r="B81" s="161"/>
      <c r="C81" s="161"/>
      <c r="D81" s="161"/>
      <c r="K81" s="6"/>
    </row>
    <row r="82" spans="1:13" ht="20.100000000000001" customHeight="1">
      <c r="A82" s="95" t="s">
        <v>20</v>
      </c>
      <c r="B82" s="50" t="s">
        <v>58</v>
      </c>
      <c r="C82" s="95" t="s">
        <v>38</v>
      </c>
      <c r="D82" s="95" t="s">
        <v>9</v>
      </c>
      <c r="F82" s="2"/>
      <c r="G82" s="2"/>
      <c r="K82" s="6"/>
    </row>
    <row r="83" spans="1:13" ht="20.100000000000001" customHeight="1">
      <c r="A83" s="95" t="s">
        <v>1</v>
      </c>
      <c r="B83" s="47" t="s">
        <v>59</v>
      </c>
      <c r="C83" s="55">
        <f>1/12</f>
        <v>8.3299999999999999E-2</v>
      </c>
      <c r="D83" s="49">
        <f t="shared" ref="D83:D89" si="1">ROUND(($D$27+$D$67+$D$77)*C83,2)</f>
        <v>302.52</v>
      </c>
      <c r="F83" s="186" t="s">
        <v>128</v>
      </c>
      <c r="G83" s="186"/>
      <c r="H83" s="186"/>
      <c r="I83" s="77"/>
      <c r="J83" s="77"/>
      <c r="K83" s="78"/>
    </row>
    <row r="84" spans="1:13" ht="20.100000000000001" customHeight="1">
      <c r="A84" s="95" t="s">
        <v>3</v>
      </c>
      <c r="B84" s="47" t="s">
        <v>58</v>
      </c>
      <c r="C84" s="55">
        <f>0.05/365</f>
        <v>1E-4</v>
      </c>
      <c r="D84" s="49">
        <f t="shared" si="1"/>
        <v>0.36</v>
      </c>
      <c r="E84" s="4"/>
      <c r="F84" s="186" t="s">
        <v>129</v>
      </c>
      <c r="G84" s="186"/>
      <c r="H84" s="186"/>
      <c r="I84" s="77"/>
      <c r="J84" s="77"/>
      <c r="K84" s="77"/>
    </row>
    <row r="85" spans="1:13" ht="27" customHeight="1">
      <c r="A85" s="95" t="s">
        <v>4</v>
      </c>
      <c r="B85" s="47" t="s">
        <v>110</v>
      </c>
      <c r="C85" s="55">
        <f>5/30/12*0.005</f>
        <v>1E-4</v>
      </c>
      <c r="D85" s="49">
        <f t="shared" si="1"/>
        <v>0.36</v>
      </c>
      <c r="F85" s="186" t="s">
        <v>139</v>
      </c>
      <c r="G85" s="186"/>
      <c r="H85" s="186"/>
      <c r="I85" s="186"/>
      <c r="J85" s="186"/>
      <c r="K85" s="186"/>
    </row>
    <row r="86" spans="1:13" ht="20.100000000000001" customHeight="1">
      <c r="A86" s="95" t="s">
        <v>5</v>
      </c>
      <c r="B86" s="47" t="s">
        <v>28</v>
      </c>
      <c r="C86" s="55">
        <f>15/30/12*0.003</f>
        <v>1E-4</v>
      </c>
      <c r="D86" s="49">
        <f t="shared" si="1"/>
        <v>0.36</v>
      </c>
      <c r="F86" s="186" t="s">
        <v>130</v>
      </c>
      <c r="G86" s="186"/>
      <c r="H86" s="186"/>
      <c r="I86" s="186"/>
      <c r="J86" s="186"/>
      <c r="K86" s="186"/>
    </row>
    <row r="87" spans="1:13" ht="22.5" customHeight="1">
      <c r="A87" s="95" t="s">
        <v>12</v>
      </c>
      <c r="B87" s="47" t="s">
        <v>111</v>
      </c>
      <c r="C87" s="55">
        <f>0.005*(4/12)/12</f>
        <v>1E-4</v>
      </c>
      <c r="D87" s="49">
        <f t="shared" si="1"/>
        <v>0.36</v>
      </c>
      <c r="F87" s="186" t="s">
        <v>140</v>
      </c>
      <c r="G87" s="186"/>
      <c r="H87" s="186"/>
      <c r="I87" s="186"/>
      <c r="J87" s="186"/>
      <c r="K87" s="186"/>
    </row>
    <row r="88" spans="1:13" ht="20.100000000000001" customHeight="1">
      <c r="A88" s="95" t="s">
        <v>13</v>
      </c>
      <c r="B88" s="47" t="s">
        <v>85</v>
      </c>
      <c r="C88" s="55">
        <f>0.05/365</f>
        <v>1E-4</v>
      </c>
      <c r="D88" s="49">
        <f t="shared" si="1"/>
        <v>0.36</v>
      </c>
      <c r="E88" s="5"/>
      <c r="F88" s="186" t="s">
        <v>131</v>
      </c>
      <c r="G88" s="186"/>
      <c r="H88" s="186"/>
      <c r="I88" s="77"/>
      <c r="J88" s="77"/>
      <c r="K88" s="77"/>
    </row>
    <row r="89" spans="1:13" ht="20.100000000000001" customHeight="1">
      <c r="A89" s="95" t="s">
        <v>14</v>
      </c>
      <c r="B89" s="47" t="s">
        <v>84</v>
      </c>
      <c r="C89" s="55"/>
      <c r="D89" s="49">
        <f t="shared" si="1"/>
        <v>0</v>
      </c>
      <c r="E89" s="5"/>
      <c r="F89" s="189" t="s">
        <v>162</v>
      </c>
      <c r="G89" s="189"/>
      <c r="H89" s="189"/>
      <c r="I89" s="189"/>
      <c r="J89" s="189"/>
      <c r="K89" s="189"/>
    </row>
    <row r="90" spans="1:13" ht="20.100000000000001" customHeight="1">
      <c r="A90" s="159" t="s">
        <v>22</v>
      </c>
      <c r="B90" s="159"/>
      <c r="C90" s="51">
        <f>ROUND(SUM(C83:C89),4)</f>
        <v>8.3799999999999999E-2</v>
      </c>
      <c r="D90" s="42">
        <f>ROUND(SUM(D83:D89),2)</f>
        <v>304.32</v>
      </c>
      <c r="F90" s="74"/>
      <c r="M90" s="5"/>
    </row>
    <row r="91" spans="1:13" ht="20.100000000000001" customHeight="1">
      <c r="A91" s="99"/>
      <c r="B91" s="99"/>
      <c r="C91" s="32"/>
      <c r="D91" s="43"/>
      <c r="F91" s="13"/>
      <c r="M91" s="13"/>
    </row>
    <row r="92" spans="1:13" ht="20.100000000000001" customHeight="1">
      <c r="A92" s="161" t="s">
        <v>60</v>
      </c>
      <c r="B92" s="161"/>
      <c r="C92" s="161"/>
      <c r="D92" s="161"/>
    </row>
    <row r="93" spans="1:13" ht="20.100000000000001" customHeight="1">
      <c r="A93" s="95" t="s">
        <v>21</v>
      </c>
      <c r="B93" s="50" t="s">
        <v>61</v>
      </c>
      <c r="C93" s="95" t="s">
        <v>38</v>
      </c>
      <c r="D93" s="95" t="s">
        <v>9</v>
      </c>
      <c r="E93" s="3"/>
    </row>
    <row r="94" spans="1:13" ht="20.100000000000001" customHeight="1">
      <c r="A94" s="95" t="s">
        <v>1</v>
      </c>
      <c r="B94" s="47" t="s">
        <v>62</v>
      </c>
      <c r="C94" s="55">
        <f>D94/D27</f>
        <v>0</v>
      </c>
      <c r="D94" s="41">
        <v>0</v>
      </c>
      <c r="E94" s="7"/>
    </row>
    <row r="95" spans="1:13" ht="20.100000000000001" customHeight="1">
      <c r="A95" s="164" t="s">
        <v>22</v>
      </c>
      <c r="B95" s="165"/>
      <c r="C95" s="166"/>
      <c r="D95" s="41">
        <f>ROUND(D94,2)</f>
        <v>0</v>
      </c>
    </row>
    <row r="96" spans="1:13" ht="20.100000000000001" customHeight="1">
      <c r="A96" s="31"/>
      <c r="B96" s="38"/>
      <c r="C96" s="31"/>
      <c r="D96" s="43"/>
    </row>
    <row r="97" spans="1:5" ht="20.100000000000001" customHeight="1">
      <c r="A97" s="161" t="s">
        <v>63</v>
      </c>
      <c r="B97" s="161"/>
      <c r="C97" s="161"/>
      <c r="D97" s="161"/>
    </row>
    <row r="98" spans="1:5" ht="20.100000000000001" customHeight="1">
      <c r="A98" s="95">
        <v>4</v>
      </c>
      <c r="B98" s="159" t="s">
        <v>64</v>
      </c>
      <c r="C98" s="159"/>
      <c r="D98" s="95" t="s">
        <v>9</v>
      </c>
    </row>
    <row r="99" spans="1:5" ht="20.100000000000001" customHeight="1">
      <c r="A99" s="52" t="s">
        <v>20</v>
      </c>
      <c r="B99" s="155" t="s">
        <v>58</v>
      </c>
      <c r="C99" s="155"/>
      <c r="D99" s="49">
        <f>ROUND(D90,2)</f>
        <v>304.32</v>
      </c>
    </row>
    <row r="100" spans="1:5" ht="20.100000000000001" customHeight="1">
      <c r="A100" s="52" t="s">
        <v>21</v>
      </c>
      <c r="B100" s="155" t="s">
        <v>61</v>
      </c>
      <c r="C100" s="155"/>
      <c r="D100" s="49">
        <f>ROUND(D95,2)</f>
        <v>0</v>
      </c>
    </row>
    <row r="101" spans="1:5" ht="20.100000000000001" customHeight="1">
      <c r="A101" s="159" t="s">
        <v>22</v>
      </c>
      <c r="B101" s="159"/>
      <c r="C101" s="159"/>
      <c r="D101" s="42">
        <f>ROUND(SUM(D99:D100),2)</f>
        <v>304.32</v>
      </c>
    </row>
    <row r="102" spans="1:5" ht="20.100000000000001" customHeight="1">
      <c r="A102" s="31"/>
      <c r="B102" s="38"/>
      <c r="C102" s="31"/>
      <c r="D102" s="43"/>
      <c r="E102" s="5"/>
    </row>
    <row r="103" spans="1:5" ht="20.100000000000001" customHeight="1">
      <c r="A103" s="158" t="s">
        <v>65</v>
      </c>
      <c r="B103" s="158"/>
      <c r="C103" s="158"/>
      <c r="D103" s="158"/>
    </row>
    <row r="104" spans="1:5" ht="20.100000000000001" customHeight="1">
      <c r="A104" s="96">
        <v>5</v>
      </c>
      <c r="B104" s="158" t="s">
        <v>103</v>
      </c>
      <c r="C104" s="158"/>
      <c r="D104" s="96" t="s">
        <v>9</v>
      </c>
    </row>
    <row r="105" spans="1:5" ht="20.100000000000001" customHeight="1">
      <c r="A105" s="96" t="s">
        <v>1</v>
      </c>
      <c r="B105" s="163" t="s">
        <v>89</v>
      </c>
      <c r="C105" s="163"/>
      <c r="D105" s="41">
        <f>VLOOKUP(A14,'Entrada de dados'!A2:N10,9,FALSE)</f>
        <v>19.16</v>
      </c>
    </row>
    <row r="106" spans="1:5" ht="20.100000000000001" customHeight="1">
      <c r="A106" s="96" t="s">
        <v>3</v>
      </c>
      <c r="B106" s="163" t="s">
        <v>321</v>
      </c>
      <c r="C106" s="163"/>
      <c r="D106" s="41">
        <f>VLOOKUP(A14,'Entrada de dados'!A2:N10,10,FALSE)</f>
        <v>198.91</v>
      </c>
    </row>
    <row r="107" spans="1:5" ht="20.100000000000001" customHeight="1">
      <c r="A107" s="96" t="s">
        <v>3</v>
      </c>
      <c r="B107" s="163" t="s">
        <v>83</v>
      </c>
      <c r="C107" s="163"/>
      <c r="D107" s="41">
        <f>VLOOKUP(A14,'Entrada de dados'!A2:N10,11,FALSE)</f>
        <v>7.08</v>
      </c>
    </row>
    <row r="108" spans="1:5" ht="20.100000000000001" customHeight="1">
      <c r="A108" s="96" t="s">
        <v>3</v>
      </c>
      <c r="B108" s="163" t="s">
        <v>322</v>
      </c>
      <c r="C108" s="163"/>
      <c r="D108" s="41">
        <f>VLOOKUP(A14,'Entrada de dados'!A2:N10,12,FALSE)</f>
        <v>205.86</v>
      </c>
    </row>
    <row r="109" spans="1:5" ht="20.100000000000001" customHeight="1">
      <c r="A109" s="96" t="s">
        <v>3</v>
      </c>
      <c r="B109" s="163" t="s">
        <v>141</v>
      </c>
      <c r="C109" s="163"/>
      <c r="D109" s="41">
        <f>VLOOKUP(A14,'Entrada de dados'!A2:N10,13,FALSE)</f>
        <v>18.78</v>
      </c>
    </row>
    <row r="110" spans="1:5" ht="20.100000000000001" customHeight="1">
      <c r="A110" s="58" t="s">
        <v>4</v>
      </c>
      <c r="B110" s="163" t="s">
        <v>323</v>
      </c>
      <c r="C110" s="163"/>
      <c r="D110" s="41">
        <f>VLOOKUP(A14,'Entrada de dados'!A2:N10,14,FALSE)</f>
        <v>25.67</v>
      </c>
    </row>
    <row r="111" spans="1:5" ht="20.100000000000001" customHeight="1">
      <c r="A111" s="58" t="s">
        <v>5</v>
      </c>
      <c r="B111" s="163" t="s">
        <v>324</v>
      </c>
      <c r="C111" s="163"/>
      <c r="D111" s="41">
        <v>0</v>
      </c>
    </row>
    <row r="112" spans="1:5" ht="20.100000000000001" customHeight="1">
      <c r="A112" s="158" t="s">
        <v>19</v>
      </c>
      <c r="B112" s="158"/>
      <c r="C112" s="158"/>
      <c r="D112" s="54">
        <f>ROUND(SUM(D105:D111),2)</f>
        <v>475.46</v>
      </c>
    </row>
    <row r="113" spans="1:8" ht="20.100000000000001" customHeight="1">
      <c r="A113" s="167"/>
      <c r="B113" s="167"/>
      <c r="C113" s="167"/>
      <c r="D113" s="32"/>
    </row>
    <row r="114" spans="1:8" ht="20.100000000000001" customHeight="1">
      <c r="A114" s="158" t="s">
        <v>79</v>
      </c>
      <c r="B114" s="158"/>
      <c r="C114" s="158"/>
      <c r="D114" s="158"/>
    </row>
    <row r="115" spans="1:8" ht="20.100000000000001" customHeight="1">
      <c r="A115" s="95">
        <v>6</v>
      </c>
      <c r="B115" s="50" t="s">
        <v>24</v>
      </c>
      <c r="C115" s="95" t="s">
        <v>38</v>
      </c>
      <c r="D115" s="95" t="s">
        <v>9</v>
      </c>
    </row>
    <row r="116" spans="1:8" ht="20.100000000000001" customHeight="1">
      <c r="A116" s="95" t="s">
        <v>1</v>
      </c>
      <c r="B116" s="47" t="s">
        <v>25</v>
      </c>
      <c r="C116" s="59">
        <v>1E-3</v>
      </c>
      <c r="D116" s="41">
        <f>D132*C116</f>
        <v>4.41</v>
      </c>
    </row>
    <row r="117" spans="1:8" ht="20.100000000000001" customHeight="1">
      <c r="A117" s="95" t="s">
        <v>3</v>
      </c>
      <c r="B117" s="47" t="s">
        <v>66</v>
      </c>
      <c r="C117" s="59">
        <f>'1'!C117</f>
        <v>7.7999999999999996E-3</v>
      </c>
      <c r="D117" s="41">
        <f>(D132+D116)*C117</f>
        <v>34.44</v>
      </c>
      <c r="E117" s="126"/>
    </row>
    <row r="118" spans="1:8" ht="20.100000000000001" customHeight="1">
      <c r="A118" s="95" t="s">
        <v>4</v>
      </c>
      <c r="B118" s="47" t="s">
        <v>67</v>
      </c>
      <c r="C118" s="60"/>
      <c r="D118" s="41"/>
    </row>
    <row r="119" spans="1:8" ht="20.100000000000001" customHeight="1">
      <c r="A119" s="95"/>
      <c r="B119" s="47" t="s">
        <v>88</v>
      </c>
      <c r="C119" s="61">
        <v>6.4999999999999997E-3</v>
      </c>
      <c r="D119" s="41">
        <f>ROUND((D132+D116+D117)/(1-$C$122)*C119,2)</f>
        <v>31.67</v>
      </c>
      <c r="F119" s="187"/>
    </row>
    <row r="120" spans="1:8" ht="20.100000000000001" customHeight="1">
      <c r="A120" s="95"/>
      <c r="B120" s="47" t="s">
        <v>87</v>
      </c>
      <c r="C120" s="61">
        <v>0.03</v>
      </c>
      <c r="D120" s="41">
        <f>ROUND((D132+D116+D117)/(1-$C$122)*C120,2)</f>
        <v>146.15</v>
      </c>
      <c r="F120" s="187"/>
    </row>
    <row r="121" spans="1:8" ht="20.100000000000001" customHeight="1">
      <c r="A121" s="52"/>
      <c r="B121" s="47" t="s">
        <v>86</v>
      </c>
      <c r="C121" s="61">
        <v>0.05</v>
      </c>
      <c r="D121" s="41">
        <f>ROUND((D132+D116+D117)/(1-$C$122)*C121,2)</f>
        <v>243.59</v>
      </c>
      <c r="F121" s="70" t="s">
        <v>165</v>
      </c>
      <c r="G121" s="70"/>
      <c r="H121" s="70"/>
    </row>
    <row r="122" spans="1:8" ht="20.100000000000001" customHeight="1">
      <c r="A122" s="95"/>
      <c r="B122" s="62" t="s">
        <v>80</v>
      </c>
      <c r="C122" s="60">
        <f>SUM(C119:C121)</f>
        <v>8.6499999999999994E-2</v>
      </c>
      <c r="D122" s="42">
        <f>ROUND(SUM(D119:D121),2)</f>
        <v>421.41</v>
      </c>
    </row>
    <row r="123" spans="1:8" ht="20.100000000000001" customHeight="1">
      <c r="A123" s="164" t="s">
        <v>81</v>
      </c>
      <c r="B123" s="165"/>
      <c r="C123" s="166"/>
      <c r="D123" s="42">
        <f>ROUND(D122+D116+D117,2)</f>
        <v>460.26</v>
      </c>
    </row>
    <row r="124" spans="1:8" ht="20.100000000000001" customHeight="1">
      <c r="A124" s="63"/>
      <c r="B124" s="32"/>
      <c r="C124" s="32"/>
      <c r="D124" s="32"/>
    </row>
    <row r="125" spans="1:8" ht="20.100000000000001" customHeight="1">
      <c r="A125" s="161" t="s">
        <v>68</v>
      </c>
      <c r="B125" s="161"/>
      <c r="C125" s="161"/>
      <c r="D125" s="161"/>
    </row>
    <row r="126" spans="1:8" ht="20.100000000000001" customHeight="1">
      <c r="A126" s="52"/>
      <c r="B126" s="159" t="s">
        <v>69</v>
      </c>
      <c r="C126" s="159"/>
      <c r="D126" s="95" t="s">
        <v>9</v>
      </c>
    </row>
    <row r="127" spans="1:8" ht="20.100000000000001" customHeight="1">
      <c r="A127" s="95" t="s">
        <v>1</v>
      </c>
      <c r="B127" s="155" t="s">
        <v>26</v>
      </c>
      <c r="C127" s="155"/>
      <c r="D127" s="64">
        <f>ROUND(D27,2)</f>
        <v>1764</v>
      </c>
      <c r="F127" s="27" t="s">
        <v>132</v>
      </c>
    </row>
    <row r="128" spans="1:8" ht="25.5">
      <c r="A128" s="95" t="s">
        <v>3</v>
      </c>
      <c r="B128" s="155" t="s">
        <v>70</v>
      </c>
      <c r="C128" s="155"/>
      <c r="D128" s="65">
        <f>ROUND(D67,2)</f>
        <v>1742.56</v>
      </c>
      <c r="F128" s="27" t="s">
        <v>133</v>
      </c>
      <c r="G128" s="2"/>
    </row>
    <row r="129" spans="1:7" ht="25.5">
      <c r="A129" s="95" t="s">
        <v>4</v>
      </c>
      <c r="B129" s="155" t="s">
        <v>52</v>
      </c>
      <c r="C129" s="155"/>
      <c r="D129" s="64">
        <f>ROUND(D77,2)</f>
        <v>125.13</v>
      </c>
      <c r="F129" s="27" t="s">
        <v>134</v>
      </c>
    </row>
    <row r="130" spans="1:7" ht="25.5">
      <c r="A130" s="95" t="s">
        <v>5</v>
      </c>
      <c r="B130" s="155" t="s">
        <v>56</v>
      </c>
      <c r="C130" s="155"/>
      <c r="D130" s="64">
        <f>ROUND(D101,2)</f>
        <v>304.32</v>
      </c>
      <c r="F130" s="27" t="s">
        <v>135</v>
      </c>
    </row>
    <row r="131" spans="1:7" ht="25.5">
      <c r="A131" s="95" t="s">
        <v>12</v>
      </c>
      <c r="B131" s="155" t="s">
        <v>71</v>
      </c>
      <c r="C131" s="155"/>
      <c r="D131" s="64">
        <f>ROUND(D112,2)</f>
        <v>475.46</v>
      </c>
      <c r="F131" s="27" t="s">
        <v>136</v>
      </c>
    </row>
    <row r="132" spans="1:7" ht="25.5">
      <c r="A132" s="159" t="s">
        <v>72</v>
      </c>
      <c r="B132" s="159"/>
      <c r="C132" s="159"/>
      <c r="D132" s="64">
        <f>ROUND(SUM(D127:D131),2)</f>
        <v>4411.47</v>
      </c>
      <c r="F132" s="27" t="s">
        <v>137</v>
      </c>
    </row>
    <row r="133" spans="1:7" ht="20.100000000000001" customHeight="1">
      <c r="A133" s="95" t="s">
        <v>13</v>
      </c>
      <c r="B133" s="155" t="s">
        <v>73</v>
      </c>
      <c r="C133" s="155"/>
      <c r="D133" s="64">
        <f>ROUND(D123,2)</f>
        <v>460.26</v>
      </c>
    </row>
    <row r="134" spans="1:7" ht="20.100000000000001" customHeight="1">
      <c r="A134" s="159" t="s">
        <v>82</v>
      </c>
      <c r="B134" s="159"/>
      <c r="C134" s="159"/>
      <c r="D134" s="64">
        <f>ROUND(D132+D133,2)</f>
        <v>4871.7299999999996</v>
      </c>
    </row>
    <row r="135" spans="1:7" ht="20.100000000000001" customHeight="1">
      <c r="A135" s="63"/>
      <c r="B135" s="32"/>
      <c r="C135" s="32"/>
      <c r="D135" s="32"/>
    </row>
    <row r="136" spans="1:7" ht="20.100000000000001" customHeight="1">
      <c r="A136" s="161" t="s">
        <v>74</v>
      </c>
      <c r="B136" s="161"/>
      <c r="C136" s="161"/>
      <c r="D136" s="161"/>
    </row>
    <row r="137" spans="1:7" ht="20.100000000000001" customHeight="1">
      <c r="A137" s="159" t="s">
        <v>75</v>
      </c>
      <c r="B137" s="159"/>
      <c r="C137" s="159"/>
      <c r="D137" s="159"/>
    </row>
    <row r="138" spans="1:7" ht="20.100000000000001" customHeight="1">
      <c r="A138" s="52"/>
      <c r="B138" s="159" t="s">
        <v>76</v>
      </c>
      <c r="C138" s="159"/>
      <c r="D138" s="95" t="s">
        <v>77</v>
      </c>
    </row>
    <row r="139" spans="1:7" ht="20.100000000000001" customHeight="1">
      <c r="A139" s="95" t="s">
        <v>1</v>
      </c>
      <c r="B139" s="155" t="s">
        <v>143</v>
      </c>
      <c r="C139" s="155"/>
      <c r="D139" s="66">
        <f>D134</f>
        <v>4871.7299999999996</v>
      </c>
      <c r="G139" s="9"/>
    </row>
    <row r="140" spans="1:7" ht="20.100000000000001" customHeight="1">
      <c r="A140" s="95" t="s">
        <v>3</v>
      </c>
      <c r="B140" s="155" t="s">
        <v>96</v>
      </c>
      <c r="C140" s="155"/>
      <c r="D140" s="67">
        <f>D14</f>
        <v>42</v>
      </c>
    </row>
    <row r="141" spans="1:7" ht="20.100000000000001" customHeight="1">
      <c r="A141" s="95" t="s">
        <v>4</v>
      </c>
      <c r="B141" s="155" t="s">
        <v>144</v>
      </c>
      <c r="C141" s="155"/>
      <c r="D141" s="68">
        <f>D139*D140</f>
        <v>204612.66</v>
      </c>
    </row>
    <row r="142" spans="1:7" ht="30.75" customHeight="1">
      <c r="A142" s="95" t="s">
        <v>5</v>
      </c>
      <c r="B142" s="155" t="s">
        <v>78</v>
      </c>
      <c r="C142" s="155"/>
      <c r="D142" s="69">
        <f>D141*30</f>
        <v>6138379.7999999998</v>
      </c>
    </row>
    <row r="144" spans="1:7">
      <c r="A144" s="162"/>
      <c r="B144" s="162"/>
      <c r="C144" s="162"/>
      <c r="D144" s="162"/>
    </row>
    <row r="148" spans="1:4">
      <c r="A148" s="162"/>
      <c r="B148" s="162"/>
      <c r="C148" s="162"/>
      <c r="D148" s="162"/>
    </row>
    <row r="149" spans="1:4">
      <c r="A149" s="162"/>
      <c r="B149" s="162"/>
      <c r="C149" s="162"/>
      <c r="D149" s="162"/>
    </row>
    <row r="150" spans="1:4">
      <c r="A150" s="162"/>
      <c r="B150" s="162"/>
      <c r="C150" s="162"/>
      <c r="D150" s="162"/>
    </row>
    <row r="151" spans="1:4">
      <c r="A151" s="162"/>
      <c r="B151" s="162"/>
      <c r="C151" s="162"/>
      <c r="D151" s="162"/>
    </row>
  </sheetData>
  <mergeCells count="108">
    <mergeCell ref="A144:D144"/>
    <mergeCell ref="A148:D148"/>
    <mergeCell ref="A149:D149"/>
    <mergeCell ref="A150:D150"/>
    <mergeCell ref="A151:D151"/>
    <mergeCell ref="A137:D137"/>
    <mergeCell ref="B138:C138"/>
    <mergeCell ref="B139:C139"/>
    <mergeCell ref="B140:C140"/>
    <mergeCell ref="B141:C141"/>
    <mergeCell ref="B142:C142"/>
    <mergeCell ref="B130:C130"/>
    <mergeCell ref="B131:C131"/>
    <mergeCell ref="A132:C132"/>
    <mergeCell ref="B133:C133"/>
    <mergeCell ref="A134:C134"/>
    <mergeCell ref="A136:D136"/>
    <mergeCell ref="A123:C123"/>
    <mergeCell ref="A125:D125"/>
    <mergeCell ref="B126:C126"/>
    <mergeCell ref="B127:C127"/>
    <mergeCell ref="B128:C128"/>
    <mergeCell ref="B129:C129"/>
    <mergeCell ref="B110:C110"/>
    <mergeCell ref="B111:C111"/>
    <mergeCell ref="A112:C112"/>
    <mergeCell ref="A113:C113"/>
    <mergeCell ref="A114:D114"/>
    <mergeCell ref="F119:F120"/>
    <mergeCell ref="B104:C104"/>
    <mergeCell ref="B105:C105"/>
    <mergeCell ref="B106:C106"/>
    <mergeCell ref="B107:C107"/>
    <mergeCell ref="B108:C108"/>
    <mergeCell ref="B109:C109"/>
    <mergeCell ref="A97:D97"/>
    <mergeCell ref="B98:C98"/>
    <mergeCell ref="B99:C99"/>
    <mergeCell ref="B100:C100"/>
    <mergeCell ref="A101:C101"/>
    <mergeCell ref="A103:D103"/>
    <mergeCell ref="F87:K87"/>
    <mergeCell ref="F88:H88"/>
    <mergeCell ref="F89:K89"/>
    <mergeCell ref="A90:B90"/>
    <mergeCell ref="A92:D92"/>
    <mergeCell ref="A95:C95"/>
    <mergeCell ref="A79:D79"/>
    <mergeCell ref="A81:D81"/>
    <mergeCell ref="F83:H83"/>
    <mergeCell ref="F84:H84"/>
    <mergeCell ref="F85:K85"/>
    <mergeCell ref="F86:K86"/>
    <mergeCell ref="F72:H72"/>
    <mergeCell ref="F73:K73"/>
    <mergeCell ref="F74:K74"/>
    <mergeCell ref="F75:H75"/>
    <mergeCell ref="F76:H76"/>
    <mergeCell ref="A77:B77"/>
    <mergeCell ref="B64:C64"/>
    <mergeCell ref="B65:C65"/>
    <mergeCell ref="B66:C66"/>
    <mergeCell ref="A67:C67"/>
    <mergeCell ref="A69:D69"/>
    <mergeCell ref="F71:K71"/>
    <mergeCell ref="B57:C57"/>
    <mergeCell ref="B58:C58"/>
    <mergeCell ref="B59:C59"/>
    <mergeCell ref="A60:C60"/>
    <mergeCell ref="A62:D62"/>
    <mergeCell ref="B63:C63"/>
    <mergeCell ref="A51:D51"/>
    <mergeCell ref="B52:C52"/>
    <mergeCell ref="B53:C53"/>
    <mergeCell ref="B54:C54"/>
    <mergeCell ref="B55:C55"/>
    <mergeCell ref="B56:C56"/>
    <mergeCell ref="A27:C27"/>
    <mergeCell ref="A29:D29"/>
    <mergeCell ref="A31:D31"/>
    <mergeCell ref="A37:B37"/>
    <mergeCell ref="A39:D39"/>
    <mergeCell ref="A49:B49"/>
    <mergeCell ref="B21:C21"/>
    <mergeCell ref="B22:C22"/>
    <mergeCell ref="B23:C23"/>
    <mergeCell ref="B24:C24"/>
    <mergeCell ref="B25:C25"/>
    <mergeCell ref="B26:C26"/>
    <mergeCell ref="D14:D15"/>
    <mergeCell ref="A16:C16"/>
    <mergeCell ref="A17:C17"/>
    <mergeCell ref="A18:C18"/>
    <mergeCell ref="A19:D19"/>
    <mergeCell ref="B20:C20"/>
    <mergeCell ref="B8:C8"/>
    <mergeCell ref="B9:C9"/>
    <mergeCell ref="B10:C10"/>
    <mergeCell ref="B11:C11"/>
    <mergeCell ref="A13:B13"/>
    <mergeCell ref="A14:B15"/>
    <mergeCell ref="C14:C15"/>
    <mergeCell ref="A1:D1"/>
    <mergeCell ref="A2:D2"/>
    <mergeCell ref="A3:D3"/>
    <mergeCell ref="A4:D4"/>
    <mergeCell ref="B5:D5"/>
    <mergeCell ref="A7:D7"/>
  </mergeCells>
  <printOptions horizontalCentered="1"/>
  <pageMargins left="0.39370078740157483" right="0.39370078740157483" top="1.9685039370078741" bottom="0.78740157480314965" header="0" footer="0"/>
  <pageSetup paperSize="9" scale="80" fitToHeight="0" orientation="portrait" r:id="rId1"/>
  <rowBreaks count="1" manualBreakCount="1">
    <brk id="67" max="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1"/>
  <sheetViews>
    <sheetView topLeftCell="A45" zoomScale="70" zoomScaleNormal="70" zoomScaleSheetLayoutView="110" workbookViewId="0">
      <selection activeCell="D143" sqref="D143"/>
    </sheetView>
  </sheetViews>
  <sheetFormatPr defaultColWidth="9.140625" defaultRowHeight="12.75"/>
  <cols>
    <col min="1" max="1" width="6" style="100" customWidth="1"/>
    <col min="2" max="2" width="62.7109375" style="1" customWidth="1"/>
    <col min="3" max="3" width="18.5703125" style="1" customWidth="1"/>
    <col min="4" max="4" width="30.7109375" style="1" customWidth="1"/>
    <col min="5" max="5" width="17.42578125" style="1" customWidth="1"/>
    <col min="6" max="6" width="102.42578125" style="1" customWidth="1"/>
    <col min="7" max="7" width="10.5703125" style="1" customWidth="1"/>
    <col min="8" max="8" width="43.85546875" style="1" customWidth="1"/>
    <col min="9" max="10" width="9.140625" style="1"/>
    <col min="11" max="11" width="11" style="1" customWidth="1"/>
    <col min="12" max="16384" width="9.140625" style="1"/>
  </cols>
  <sheetData>
    <row r="1" spans="1:4">
      <c r="A1" s="173" t="s">
        <v>93</v>
      </c>
      <c r="B1" s="173"/>
      <c r="C1" s="173"/>
      <c r="D1" s="173"/>
    </row>
    <row r="2" spans="1:4" ht="4.5" customHeight="1">
      <c r="A2" s="173"/>
      <c r="B2" s="173"/>
      <c r="C2" s="173"/>
      <c r="D2" s="173"/>
    </row>
    <row r="3" spans="1:4" ht="20.100000000000001" customHeight="1">
      <c r="A3" s="181" t="s">
        <v>315</v>
      </c>
      <c r="B3" s="179"/>
      <c r="C3" s="179"/>
      <c r="D3" s="180"/>
    </row>
    <row r="4" spans="1:4" ht="20.100000000000001" customHeight="1">
      <c r="A4" s="181" t="s">
        <v>316</v>
      </c>
      <c r="B4" s="179"/>
      <c r="C4" s="179"/>
      <c r="D4" s="180"/>
    </row>
    <row r="5" spans="1:4" ht="20.100000000000001" customHeight="1">
      <c r="A5" s="28"/>
      <c r="B5" s="178"/>
      <c r="C5" s="179"/>
      <c r="D5" s="180"/>
    </row>
    <row r="6" spans="1:4" ht="20.100000000000001" customHeight="1">
      <c r="A6" s="29"/>
      <c r="B6" s="30"/>
      <c r="C6" s="31"/>
      <c r="D6" s="32"/>
    </row>
    <row r="7" spans="1:4" ht="20.100000000000001" customHeight="1">
      <c r="A7" s="174" t="s">
        <v>0</v>
      </c>
      <c r="B7" s="175"/>
      <c r="C7" s="175"/>
      <c r="D7" s="176"/>
    </row>
    <row r="8" spans="1:4" ht="20.100000000000001" customHeight="1">
      <c r="A8" s="96" t="s">
        <v>1</v>
      </c>
      <c r="B8" s="177" t="s">
        <v>2</v>
      </c>
      <c r="C8" s="177"/>
      <c r="D8" s="34">
        <v>45783</v>
      </c>
    </row>
    <row r="9" spans="1:4" ht="30" customHeight="1">
      <c r="A9" s="96" t="s">
        <v>3</v>
      </c>
      <c r="B9" s="177" t="s">
        <v>159</v>
      </c>
      <c r="C9" s="177"/>
      <c r="D9" s="94" t="s">
        <v>317</v>
      </c>
    </row>
    <row r="10" spans="1:4" ht="20.100000000000001" customHeight="1">
      <c r="A10" s="96" t="s">
        <v>4</v>
      </c>
      <c r="B10" s="177" t="s">
        <v>142</v>
      </c>
      <c r="C10" s="177"/>
      <c r="D10" s="36" t="str">
        <f>VLOOKUP(A14,'Entrada de dados'!$A$1:$N$8,2,FALSE)</f>
        <v>PR000074/2025</v>
      </c>
    </row>
    <row r="11" spans="1:4" ht="20.100000000000001" customHeight="1">
      <c r="A11" s="96" t="s">
        <v>5</v>
      </c>
      <c r="B11" s="177" t="s">
        <v>6</v>
      </c>
      <c r="C11" s="177"/>
      <c r="D11" s="37">
        <v>30</v>
      </c>
    </row>
    <row r="12" spans="1:4" ht="20.100000000000001" customHeight="1">
      <c r="A12" s="31"/>
      <c r="B12" s="38"/>
      <c r="C12" s="31"/>
      <c r="D12" s="32"/>
    </row>
    <row r="13" spans="1:4" ht="27" customHeight="1">
      <c r="A13" s="156" t="s">
        <v>91</v>
      </c>
      <c r="B13" s="156"/>
      <c r="C13" s="94" t="s">
        <v>90</v>
      </c>
      <c r="D13" s="94" t="s">
        <v>100</v>
      </c>
    </row>
    <row r="14" spans="1:4" ht="20.100000000000001" customHeight="1">
      <c r="A14" s="182" t="str">
        <f>'Quadro Resumo'!D9</f>
        <v>SERVENTE DE LIMPEZA</v>
      </c>
      <c r="B14" s="183"/>
      <c r="C14" s="169" t="s">
        <v>92</v>
      </c>
      <c r="D14" s="171">
        <f>VLOOKUP(A14,'Quadro Resumo'!D3:G13,4,FALSE)</f>
        <v>42</v>
      </c>
    </row>
    <row r="15" spans="1:4" ht="20.100000000000001" customHeight="1">
      <c r="A15" s="184"/>
      <c r="B15" s="185"/>
      <c r="C15" s="170"/>
      <c r="D15" s="172"/>
    </row>
    <row r="16" spans="1:4" ht="20.100000000000001" customHeight="1">
      <c r="A16" s="152" t="s">
        <v>174</v>
      </c>
      <c r="B16" s="153"/>
      <c r="C16" s="154"/>
      <c r="D16" s="93">
        <v>44</v>
      </c>
    </row>
    <row r="17" spans="1:6" ht="20.100000000000001" customHeight="1">
      <c r="A17" s="152" t="s">
        <v>160</v>
      </c>
      <c r="B17" s="153"/>
      <c r="C17" s="154"/>
      <c r="D17" s="79">
        <v>45689</v>
      </c>
    </row>
    <row r="18" spans="1:6" ht="20.100000000000001" customHeight="1">
      <c r="A18" s="190"/>
      <c r="B18" s="190"/>
      <c r="C18" s="190"/>
      <c r="D18" s="39"/>
    </row>
    <row r="19" spans="1:6" ht="20.100000000000001" customHeight="1">
      <c r="A19" s="158" t="s">
        <v>7</v>
      </c>
      <c r="B19" s="158"/>
      <c r="C19" s="158"/>
      <c r="D19" s="158"/>
    </row>
    <row r="20" spans="1:6" ht="20.100000000000001" customHeight="1">
      <c r="A20" s="40">
        <v>1</v>
      </c>
      <c r="B20" s="156" t="s">
        <v>8</v>
      </c>
      <c r="C20" s="156"/>
      <c r="D20" s="40" t="s">
        <v>9</v>
      </c>
    </row>
    <row r="21" spans="1:6" ht="20.100000000000001" customHeight="1">
      <c r="A21" s="94" t="s">
        <v>1</v>
      </c>
      <c r="B21" s="160" t="s">
        <v>10</v>
      </c>
      <c r="C21" s="160"/>
      <c r="D21" s="41">
        <f>VLOOKUP(A14,'Entrada de dados'!A2:H8,3,FALSE)/44*'7'!D16</f>
        <v>1764</v>
      </c>
      <c r="F21" s="26" t="s">
        <v>138</v>
      </c>
    </row>
    <row r="22" spans="1:6" ht="20.100000000000001" customHeight="1">
      <c r="A22" s="94" t="s">
        <v>3</v>
      </c>
      <c r="B22" s="160" t="s">
        <v>99</v>
      </c>
      <c r="C22" s="160"/>
      <c r="D22" s="41"/>
      <c r="F22" s="26" t="s">
        <v>161</v>
      </c>
    </row>
    <row r="23" spans="1:6" ht="20.100000000000001" customHeight="1">
      <c r="A23" s="94" t="s">
        <v>4</v>
      </c>
      <c r="B23" s="160" t="s">
        <v>98</v>
      </c>
      <c r="C23" s="160"/>
      <c r="D23" s="41">
        <v>0</v>
      </c>
      <c r="F23" s="71" t="s">
        <v>166</v>
      </c>
    </row>
    <row r="24" spans="1:6" ht="20.100000000000001" customHeight="1">
      <c r="A24" s="94" t="s">
        <v>5</v>
      </c>
      <c r="B24" s="160" t="s">
        <v>11</v>
      </c>
      <c r="C24" s="160"/>
      <c r="D24" s="41"/>
      <c r="F24" s="26" t="s">
        <v>161</v>
      </c>
    </row>
    <row r="25" spans="1:6" ht="20.100000000000001" customHeight="1">
      <c r="A25" s="94" t="s">
        <v>12</v>
      </c>
      <c r="B25" s="160" t="s">
        <v>29</v>
      </c>
      <c r="C25" s="160"/>
      <c r="D25" s="41"/>
      <c r="F25" s="26" t="s">
        <v>161</v>
      </c>
    </row>
    <row r="26" spans="1:6" ht="20.100000000000001" customHeight="1">
      <c r="A26" s="94" t="s">
        <v>13</v>
      </c>
      <c r="B26" s="160" t="s">
        <v>319</v>
      </c>
      <c r="C26" s="160"/>
      <c r="D26" s="41">
        <v>0</v>
      </c>
      <c r="F26" s="26" t="s">
        <v>161</v>
      </c>
    </row>
    <row r="27" spans="1:6" ht="20.100000000000001" customHeight="1">
      <c r="A27" s="156" t="s">
        <v>16</v>
      </c>
      <c r="B27" s="156"/>
      <c r="C27" s="156"/>
      <c r="D27" s="42">
        <f>SUM(D21:D26)</f>
        <v>1764</v>
      </c>
    </row>
    <row r="28" spans="1:6" ht="20.100000000000001" customHeight="1">
      <c r="A28" s="31"/>
      <c r="B28" s="38"/>
      <c r="C28" s="31"/>
      <c r="D28" s="43"/>
    </row>
    <row r="29" spans="1:6" ht="20.100000000000001" customHeight="1">
      <c r="A29" s="191" t="s">
        <v>30</v>
      </c>
      <c r="B29" s="191"/>
      <c r="C29" s="191"/>
      <c r="D29" s="191"/>
    </row>
    <row r="30" spans="1:6" ht="20.100000000000001" customHeight="1">
      <c r="A30" s="97"/>
      <c r="B30" s="99"/>
      <c r="C30" s="99"/>
      <c r="D30" s="43"/>
    </row>
    <row r="31" spans="1:6" ht="20.100000000000001" customHeight="1">
      <c r="A31" s="158" t="s">
        <v>31</v>
      </c>
      <c r="B31" s="158"/>
      <c r="C31" s="158"/>
      <c r="D31" s="158"/>
    </row>
    <row r="32" spans="1:6" ht="20.100000000000001" customHeight="1">
      <c r="A32" s="96" t="s">
        <v>32</v>
      </c>
      <c r="B32" s="96" t="s">
        <v>102</v>
      </c>
      <c r="C32" s="95" t="s">
        <v>38</v>
      </c>
      <c r="D32" s="96" t="s">
        <v>9</v>
      </c>
    </row>
    <row r="33" spans="1:13" ht="20.100000000000001" customHeight="1">
      <c r="A33" s="96" t="s">
        <v>1</v>
      </c>
      <c r="B33" s="47" t="s">
        <v>27</v>
      </c>
      <c r="C33" s="48">
        <v>8.3299999999999999E-2</v>
      </c>
      <c r="D33" s="49">
        <f>ROUND($D$27*C33,2)</f>
        <v>146.94</v>
      </c>
      <c r="F33" s="1" t="s">
        <v>113</v>
      </c>
    </row>
    <row r="34" spans="1:13" ht="20.100000000000001" customHeight="1">
      <c r="A34" s="96" t="s">
        <v>3</v>
      </c>
      <c r="B34" s="47" t="s">
        <v>184</v>
      </c>
      <c r="C34" s="48">
        <v>2.7799999999999998E-2</v>
      </c>
      <c r="D34" s="49">
        <f>ROUND($D$27*C34,2)</f>
        <v>49.04</v>
      </c>
      <c r="F34" s="25" t="s">
        <v>164</v>
      </c>
    </row>
    <row r="35" spans="1:13" ht="20.100000000000001" customHeight="1">
      <c r="A35" s="96" t="s">
        <v>4</v>
      </c>
      <c r="B35" s="50" t="s">
        <v>94</v>
      </c>
      <c r="C35" s="51">
        <f>SUM(C33:C34)</f>
        <v>0.1111</v>
      </c>
      <c r="D35" s="42">
        <f>SUM(D33:D34)</f>
        <v>195.98</v>
      </c>
    </row>
    <row r="36" spans="1:13" ht="20.100000000000001" customHeight="1">
      <c r="A36" s="96" t="s">
        <v>5</v>
      </c>
      <c r="B36" s="47" t="s">
        <v>95</v>
      </c>
      <c r="C36" s="48">
        <f>C35*C49</f>
        <v>0.04</v>
      </c>
      <c r="D36" s="49">
        <f>ROUND($D$27*C36,2)</f>
        <v>70.56</v>
      </c>
    </row>
    <row r="37" spans="1:13" ht="20.100000000000001" customHeight="1">
      <c r="A37" s="158" t="s">
        <v>34</v>
      </c>
      <c r="B37" s="158"/>
      <c r="C37" s="51">
        <f>SUM(C35:C36)</f>
        <v>0.15110000000000001</v>
      </c>
      <c r="D37" s="42">
        <f>SUM(D35:D36)</f>
        <v>266.54000000000002</v>
      </c>
      <c r="M37" s="5"/>
    </row>
    <row r="38" spans="1:13" ht="20.100000000000001" customHeight="1">
      <c r="A38" s="97"/>
      <c r="B38" s="97"/>
      <c r="C38" s="97"/>
      <c r="D38" s="43"/>
    </row>
    <row r="39" spans="1:13" ht="33" customHeight="1">
      <c r="A39" s="159" t="s">
        <v>35</v>
      </c>
      <c r="B39" s="159"/>
      <c r="C39" s="159"/>
      <c r="D39" s="159"/>
    </row>
    <row r="40" spans="1:13" ht="33.75" customHeight="1">
      <c r="A40" s="95" t="s">
        <v>36</v>
      </c>
      <c r="B40" s="50" t="s">
        <v>37</v>
      </c>
      <c r="C40" s="95" t="s">
        <v>38</v>
      </c>
      <c r="D40" s="95" t="s">
        <v>9</v>
      </c>
      <c r="E40" s="2"/>
    </row>
    <row r="41" spans="1:13" ht="20.100000000000001" customHeight="1">
      <c r="A41" s="52" t="s">
        <v>1</v>
      </c>
      <c r="B41" s="47" t="s">
        <v>39</v>
      </c>
      <c r="C41" s="48">
        <v>0.2</v>
      </c>
      <c r="D41" s="49">
        <f t="shared" ref="D41:D48" si="0">ROUND($D$27*C41,2)</f>
        <v>352.8</v>
      </c>
      <c r="F41" s="72" t="s">
        <v>114</v>
      </c>
    </row>
    <row r="42" spans="1:13" ht="20.100000000000001" customHeight="1">
      <c r="A42" s="52" t="s">
        <v>3</v>
      </c>
      <c r="B42" s="47" t="s">
        <v>40</v>
      </c>
      <c r="C42" s="48">
        <v>2.5000000000000001E-2</v>
      </c>
      <c r="D42" s="49">
        <f t="shared" si="0"/>
        <v>44.1</v>
      </c>
      <c r="F42" s="72" t="s">
        <v>115</v>
      </c>
    </row>
    <row r="43" spans="1:13" ht="20.100000000000001" customHeight="1">
      <c r="A43" s="52" t="s">
        <v>4</v>
      </c>
      <c r="B43" s="47" t="s">
        <v>41</v>
      </c>
      <c r="C43" s="48">
        <f>2%*1.0942</f>
        <v>2.1899999999999999E-2</v>
      </c>
      <c r="D43" s="49">
        <f t="shared" si="0"/>
        <v>38.630000000000003</v>
      </c>
      <c r="F43" s="72" t="s">
        <v>116</v>
      </c>
    </row>
    <row r="44" spans="1:13" ht="20.100000000000001" customHeight="1">
      <c r="A44" s="52" t="s">
        <v>5</v>
      </c>
      <c r="B44" s="47" t="s">
        <v>42</v>
      </c>
      <c r="C44" s="48">
        <v>1.4999999999999999E-2</v>
      </c>
      <c r="D44" s="49">
        <f t="shared" si="0"/>
        <v>26.46</v>
      </c>
      <c r="F44" s="72" t="s">
        <v>117</v>
      </c>
    </row>
    <row r="45" spans="1:13" ht="20.100000000000001" customHeight="1">
      <c r="A45" s="52" t="s">
        <v>12</v>
      </c>
      <c r="B45" s="47" t="s">
        <v>43</v>
      </c>
      <c r="C45" s="48">
        <v>0.01</v>
      </c>
      <c r="D45" s="49">
        <f t="shared" si="0"/>
        <v>17.64</v>
      </c>
      <c r="F45" s="72" t="s">
        <v>118</v>
      </c>
    </row>
    <row r="46" spans="1:13" ht="20.100000000000001" customHeight="1">
      <c r="A46" s="52" t="s">
        <v>13</v>
      </c>
      <c r="B46" s="47" t="s">
        <v>44</v>
      </c>
      <c r="C46" s="48">
        <v>6.0000000000000001E-3</v>
      </c>
      <c r="D46" s="49">
        <f t="shared" si="0"/>
        <v>10.58</v>
      </c>
      <c r="F46" s="72" t="s">
        <v>119</v>
      </c>
    </row>
    <row r="47" spans="1:13" ht="20.100000000000001" customHeight="1">
      <c r="A47" s="52" t="s">
        <v>14</v>
      </c>
      <c r="B47" s="47" t="s">
        <v>45</v>
      </c>
      <c r="C47" s="48">
        <v>2E-3</v>
      </c>
      <c r="D47" s="49">
        <f t="shared" si="0"/>
        <v>3.53</v>
      </c>
      <c r="F47" s="72" t="s">
        <v>120</v>
      </c>
    </row>
    <row r="48" spans="1:13" ht="20.100000000000001" customHeight="1">
      <c r="A48" s="52" t="s">
        <v>15</v>
      </c>
      <c r="B48" s="47" t="s">
        <v>46</v>
      </c>
      <c r="C48" s="48">
        <v>0.08</v>
      </c>
      <c r="D48" s="49">
        <f t="shared" si="0"/>
        <v>141.12</v>
      </c>
      <c r="F48" s="72" t="s">
        <v>121</v>
      </c>
    </row>
    <row r="49" spans="1:13" ht="20.100000000000001" customHeight="1">
      <c r="A49" s="159" t="s">
        <v>22</v>
      </c>
      <c r="B49" s="159"/>
      <c r="C49" s="51">
        <f>ROUND(SUM(C41:C48),4)</f>
        <v>0.3599</v>
      </c>
      <c r="D49" s="42">
        <f>ROUND(SUM(D41:D48),2)</f>
        <v>634.86</v>
      </c>
      <c r="F49" s="25" t="s">
        <v>122</v>
      </c>
      <c r="M49" s="5"/>
    </row>
    <row r="50" spans="1:13" ht="20.100000000000001" customHeight="1">
      <c r="A50" s="97"/>
      <c r="B50" s="97"/>
      <c r="C50" s="97"/>
      <c r="D50" s="43"/>
    </row>
    <row r="51" spans="1:13" ht="20.100000000000001" customHeight="1">
      <c r="A51" s="161" t="s">
        <v>47</v>
      </c>
      <c r="B51" s="161"/>
      <c r="C51" s="161"/>
      <c r="D51" s="161"/>
    </row>
    <row r="52" spans="1:13" ht="20.100000000000001" customHeight="1">
      <c r="A52" s="94" t="s">
        <v>48</v>
      </c>
      <c r="B52" s="156" t="s">
        <v>17</v>
      </c>
      <c r="C52" s="156"/>
      <c r="D52" s="94" t="s">
        <v>9</v>
      </c>
      <c r="F52" s="14" t="s">
        <v>104</v>
      </c>
      <c r="G52" s="8"/>
      <c r="K52" s="5"/>
    </row>
    <row r="53" spans="1:13" ht="20.100000000000001" customHeight="1">
      <c r="A53" s="94" t="s">
        <v>1</v>
      </c>
      <c r="B53" s="155" t="s">
        <v>101</v>
      </c>
      <c r="C53" s="155"/>
      <c r="D53" s="41">
        <f>IF(((F55*2*F53)-(D21*0.06))&lt;0,0,((F55*2*F53)-(D21*0.06)))</f>
        <v>0</v>
      </c>
      <c r="F53" s="16">
        <v>15</v>
      </c>
      <c r="G53" s="8"/>
      <c r="H53" s="26" t="s">
        <v>163</v>
      </c>
      <c r="K53" s="5"/>
    </row>
    <row r="54" spans="1:13" ht="20.100000000000001" customHeight="1">
      <c r="A54" s="94" t="s">
        <v>3</v>
      </c>
      <c r="B54" s="157" t="s">
        <v>112</v>
      </c>
      <c r="C54" s="157"/>
      <c r="D54" s="41">
        <f>F57*1*(1-F59)</f>
        <v>644</v>
      </c>
      <c r="F54" s="14" t="s">
        <v>145</v>
      </c>
      <c r="G54" s="8"/>
      <c r="H54" s="26" t="s">
        <v>163</v>
      </c>
      <c r="K54" s="5"/>
    </row>
    <row r="55" spans="1:13" ht="20.100000000000001" customHeight="1">
      <c r="A55" s="94" t="s">
        <v>4</v>
      </c>
      <c r="B55" s="155" t="s">
        <v>175</v>
      </c>
      <c r="C55" s="155"/>
      <c r="D55" s="41">
        <f>VLOOKUP(A14,'Entrada de dados'!A2:H8,5,FALSE)</f>
        <v>28</v>
      </c>
      <c r="F55" s="15">
        <v>0</v>
      </c>
      <c r="G55" s="8"/>
      <c r="H55" s="26" t="s">
        <v>320</v>
      </c>
      <c r="K55" s="5"/>
    </row>
    <row r="56" spans="1:13" ht="20.100000000000001" customHeight="1">
      <c r="A56" s="94" t="s">
        <v>5</v>
      </c>
      <c r="B56" s="155" t="s">
        <v>176</v>
      </c>
      <c r="C56" s="155"/>
      <c r="D56" s="41">
        <f>VLOOKUP(A14,'Entrada de dados'!A2:H8,6,FALSE)</f>
        <v>28</v>
      </c>
      <c r="F56" s="14" t="s">
        <v>105</v>
      </c>
      <c r="G56" s="8"/>
      <c r="H56" s="26" t="s">
        <v>163</v>
      </c>
      <c r="K56" s="5"/>
    </row>
    <row r="57" spans="1:13" ht="20.100000000000001" customHeight="1">
      <c r="A57" s="98" t="s">
        <v>49</v>
      </c>
      <c r="B57" s="155" t="s">
        <v>177</v>
      </c>
      <c r="C57" s="155"/>
      <c r="D57" s="41">
        <f>VLOOKUP(A14,'Entrada de dados'!A2:H8,7,FALSE)</f>
        <v>87.5</v>
      </c>
      <c r="F57" s="15">
        <f>VLOOKUP(A14,'Entrada de dados'!A2:H8,4,FALSE)</f>
        <v>805</v>
      </c>
      <c r="G57" s="8"/>
      <c r="H57" s="26" t="s">
        <v>163</v>
      </c>
      <c r="K57" s="5"/>
    </row>
    <row r="58" spans="1:13" ht="20.100000000000001" customHeight="1">
      <c r="A58" s="98" t="s">
        <v>13</v>
      </c>
      <c r="B58" s="157" t="s">
        <v>178</v>
      </c>
      <c r="C58" s="157"/>
      <c r="D58" s="41">
        <f>VLOOKUP(A14,'Entrada de dados'!A2:H8,8,FALSE)*0.8</f>
        <v>53.66</v>
      </c>
      <c r="F58" s="14" t="s">
        <v>106</v>
      </c>
      <c r="G58" s="8"/>
      <c r="H58" s="26" t="s">
        <v>163</v>
      </c>
      <c r="K58" s="5"/>
    </row>
    <row r="59" spans="1:13" ht="20.100000000000001" customHeight="1">
      <c r="A59" s="98" t="s">
        <v>14</v>
      </c>
      <c r="B59" s="157" t="s">
        <v>179</v>
      </c>
      <c r="C59" s="157"/>
      <c r="D59" s="41">
        <v>0</v>
      </c>
      <c r="F59" s="10">
        <v>0.2</v>
      </c>
      <c r="G59" s="8"/>
      <c r="H59" s="26" t="s">
        <v>163</v>
      </c>
      <c r="K59" s="5"/>
    </row>
    <row r="60" spans="1:13" ht="20.100000000000001" customHeight="1">
      <c r="A60" s="158" t="s">
        <v>18</v>
      </c>
      <c r="B60" s="158"/>
      <c r="C60" s="158"/>
      <c r="D60" s="54">
        <f>ROUND(SUM(D53:D59),2)</f>
        <v>841.16</v>
      </c>
      <c r="F60" s="9"/>
      <c r="G60" s="8"/>
      <c r="K60" s="5"/>
    </row>
    <row r="61" spans="1:13" ht="20.100000000000001" customHeight="1">
      <c r="A61" s="31"/>
      <c r="B61" s="38"/>
      <c r="C61" s="31"/>
      <c r="D61" s="43"/>
      <c r="F61" s="9"/>
      <c r="G61" s="8"/>
      <c r="K61" s="5"/>
    </row>
    <row r="62" spans="1:13" ht="20.100000000000001" customHeight="1">
      <c r="A62" s="158" t="s">
        <v>50</v>
      </c>
      <c r="B62" s="158"/>
      <c r="C62" s="158"/>
      <c r="D62" s="158"/>
      <c r="F62" s="9"/>
      <c r="G62" s="8"/>
      <c r="K62" s="5"/>
    </row>
    <row r="63" spans="1:13" ht="20.100000000000001" customHeight="1">
      <c r="A63" s="95">
        <v>2</v>
      </c>
      <c r="B63" s="159" t="s">
        <v>51</v>
      </c>
      <c r="C63" s="159"/>
      <c r="D63" s="95" t="s">
        <v>9</v>
      </c>
      <c r="F63" s="9"/>
      <c r="G63" s="8"/>
      <c r="K63" s="5"/>
    </row>
    <row r="64" spans="1:13" ht="20.100000000000001" customHeight="1">
      <c r="A64" s="95" t="s">
        <v>32</v>
      </c>
      <c r="B64" s="155" t="s">
        <v>33</v>
      </c>
      <c r="C64" s="155"/>
      <c r="D64" s="49">
        <f>ROUND(D37,2)</f>
        <v>266.54000000000002</v>
      </c>
      <c r="F64" s="9"/>
      <c r="G64" s="8"/>
      <c r="K64" s="5"/>
    </row>
    <row r="65" spans="1:13" ht="20.100000000000001" customHeight="1">
      <c r="A65" s="95" t="s">
        <v>36</v>
      </c>
      <c r="B65" s="155" t="s">
        <v>37</v>
      </c>
      <c r="C65" s="155"/>
      <c r="D65" s="49">
        <f>ROUND(D49,2)</f>
        <v>634.86</v>
      </c>
      <c r="F65" s="9"/>
      <c r="G65" s="8"/>
      <c r="K65" s="5"/>
    </row>
    <row r="66" spans="1:13" ht="20.100000000000001" customHeight="1">
      <c r="A66" s="95" t="s">
        <v>48</v>
      </c>
      <c r="B66" s="155" t="s">
        <v>17</v>
      </c>
      <c r="C66" s="155"/>
      <c r="D66" s="49">
        <f>ROUND(D60,2)</f>
        <v>841.16</v>
      </c>
      <c r="F66" s="9"/>
      <c r="G66" s="8"/>
      <c r="K66" s="5"/>
    </row>
    <row r="67" spans="1:13" ht="20.100000000000001" customHeight="1">
      <c r="A67" s="159" t="s">
        <v>22</v>
      </c>
      <c r="B67" s="159"/>
      <c r="C67" s="159"/>
      <c r="D67" s="42">
        <f>ROUND(SUM(D64:D66),2)</f>
        <v>1742.56</v>
      </c>
      <c r="F67" s="9"/>
      <c r="G67" s="8"/>
      <c r="K67" s="5"/>
    </row>
    <row r="68" spans="1:13" ht="20.100000000000001" customHeight="1">
      <c r="A68" s="31"/>
      <c r="B68" s="38"/>
      <c r="C68" s="31"/>
      <c r="D68" s="43"/>
      <c r="F68" s="9"/>
      <c r="G68" s="8"/>
      <c r="K68" s="5"/>
    </row>
    <row r="69" spans="1:13" ht="20.100000000000001" customHeight="1">
      <c r="A69" s="161" t="s">
        <v>52</v>
      </c>
      <c r="B69" s="161"/>
      <c r="C69" s="161"/>
      <c r="D69" s="161"/>
      <c r="F69" s="9"/>
      <c r="G69" s="8"/>
      <c r="K69" s="5"/>
    </row>
    <row r="70" spans="1:13" ht="20.100000000000001" customHeight="1">
      <c r="A70" s="95">
        <v>3</v>
      </c>
      <c r="B70" s="50" t="s">
        <v>23</v>
      </c>
      <c r="C70" s="95" t="s">
        <v>38</v>
      </c>
      <c r="D70" s="95" t="s">
        <v>9</v>
      </c>
      <c r="F70" s="9"/>
      <c r="G70" s="8"/>
      <c r="K70" s="5"/>
    </row>
    <row r="71" spans="1:13" ht="20.100000000000001" customHeight="1">
      <c r="A71" s="95" t="s">
        <v>1</v>
      </c>
      <c r="B71" s="47" t="s">
        <v>53</v>
      </c>
      <c r="C71" s="55">
        <f>1/12*0.05</f>
        <v>4.1999999999999997E-3</v>
      </c>
      <c r="D71" s="49">
        <f>ROUND(($D$27+$D$94)*C71,2)</f>
        <v>8.17</v>
      </c>
      <c r="F71" s="188" t="s">
        <v>123</v>
      </c>
      <c r="G71" s="188"/>
      <c r="H71" s="188"/>
      <c r="I71" s="188"/>
      <c r="J71" s="188"/>
      <c r="K71" s="188"/>
    </row>
    <row r="72" spans="1:13" ht="20.100000000000001" customHeight="1">
      <c r="A72" s="95" t="s">
        <v>3</v>
      </c>
      <c r="B72" s="47" t="s">
        <v>54</v>
      </c>
      <c r="C72" s="56">
        <f>C71*C48</f>
        <v>3.3599999999999998E-4</v>
      </c>
      <c r="D72" s="49">
        <f>ROUND(($D$27+$D$94)*C72,2)</f>
        <v>0.65</v>
      </c>
      <c r="F72" s="188" t="s">
        <v>124</v>
      </c>
      <c r="G72" s="188"/>
      <c r="H72" s="188"/>
      <c r="K72" s="73"/>
    </row>
    <row r="73" spans="1:13" ht="19.5" customHeight="1">
      <c r="A73" s="95" t="s">
        <v>4</v>
      </c>
      <c r="B73" s="47" t="s">
        <v>108</v>
      </c>
      <c r="C73" s="55">
        <v>6.4999999999999997E-3</v>
      </c>
      <c r="D73" s="49">
        <f>ROUND($D$27*C73,2)</f>
        <v>11.47</v>
      </c>
      <c r="F73" s="188" t="s">
        <v>125</v>
      </c>
      <c r="G73" s="188"/>
      <c r="H73" s="188"/>
      <c r="I73" s="188"/>
      <c r="J73" s="188"/>
      <c r="K73" s="188"/>
    </row>
    <row r="74" spans="1:13" ht="20.100000000000001" customHeight="1">
      <c r="A74" s="95" t="s">
        <v>5</v>
      </c>
      <c r="B74" s="47" t="s">
        <v>97</v>
      </c>
      <c r="C74" s="55">
        <f>7/30/12</f>
        <v>1.9400000000000001E-2</v>
      </c>
      <c r="D74" s="49">
        <f>ROUND(($D$27+$D$94)*C74,2)</f>
        <v>37.72</v>
      </c>
      <c r="F74" s="188" t="s">
        <v>126</v>
      </c>
      <c r="G74" s="188"/>
      <c r="H74" s="188"/>
      <c r="I74" s="188"/>
      <c r="J74" s="188"/>
      <c r="K74" s="188"/>
    </row>
    <row r="75" spans="1:13" ht="32.25" customHeight="1">
      <c r="A75" s="95" t="s">
        <v>12</v>
      </c>
      <c r="B75" s="47" t="s">
        <v>55</v>
      </c>
      <c r="C75" s="55">
        <f>C74*C49</f>
        <v>7.0000000000000001E-3</v>
      </c>
      <c r="D75" s="49">
        <f>ROUND(($D$27+$D$94)*C75,2)</f>
        <v>13.61</v>
      </c>
      <c r="F75" s="188" t="s">
        <v>127</v>
      </c>
      <c r="G75" s="188"/>
      <c r="H75" s="188"/>
      <c r="K75" s="73"/>
    </row>
    <row r="76" spans="1:13" ht="21.75" customHeight="1">
      <c r="A76" s="95" t="s">
        <v>4</v>
      </c>
      <c r="B76" s="47" t="s">
        <v>109</v>
      </c>
      <c r="C76" s="55">
        <v>3.3500000000000002E-2</v>
      </c>
      <c r="D76" s="49">
        <f>ROUND($D$27*C76,2)</f>
        <v>59.09</v>
      </c>
      <c r="F76" s="188" t="s">
        <v>125</v>
      </c>
      <c r="G76" s="188"/>
      <c r="H76" s="188"/>
      <c r="K76" s="73"/>
    </row>
    <row r="77" spans="1:13" ht="20.100000000000001" customHeight="1">
      <c r="A77" s="159" t="s">
        <v>22</v>
      </c>
      <c r="B77" s="159"/>
      <c r="C77" s="57">
        <f>ROUND(SUM(C71:C76),4)</f>
        <v>7.0900000000000005E-2</v>
      </c>
      <c r="D77" s="54">
        <f>ROUND(SUM(D71:D76),2)</f>
        <v>130.71</v>
      </c>
      <c r="F77" s="9"/>
      <c r="G77" s="8"/>
      <c r="K77" s="5"/>
      <c r="M77" s="5"/>
    </row>
    <row r="78" spans="1:13" ht="20.100000000000001" customHeight="1">
      <c r="A78" s="99"/>
      <c r="B78" s="99"/>
      <c r="C78" s="99"/>
      <c r="D78" s="43"/>
      <c r="F78" s="9"/>
      <c r="G78" s="8"/>
      <c r="K78" s="5"/>
    </row>
    <row r="79" spans="1:13" ht="20.100000000000001" customHeight="1">
      <c r="A79" s="168" t="s">
        <v>56</v>
      </c>
      <c r="B79" s="168"/>
      <c r="C79" s="168"/>
      <c r="D79" s="168"/>
      <c r="F79" s="9"/>
      <c r="G79" s="8"/>
      <c r="K79" s="5"/>
      <c r="L79" s="3"/>
    </row>
    <row r="80" spans="1:13" ht="20.100000000000001" customHeight="1">
      <c r="A80" s="99"/>
      <c r="B80" s="99"/>
      <c r="C80" s="99"/>
      <c r="D80" s="99"/>
      <c r="K80" s="6"/>
    </row>
    <row r="81" spans="1:13" ht="20.100000000000001" customHeight="1">
      <c r="A81" s="161" t="s">
        <v>57</v>
      </c>
      <c r="B81" s="161"/>
      <c r="C81" s="161"/>
      <c r="D81" s="161"/>
      <c r="K81" s="6"/>
    </row>
    <row r="82" spans="1:13" ht="20.100000000000001" customHeight="1">
      <c r="A82" s="95" t="s">
        <v>20</v>
      </c>
      <c r="B82" s="50" t="s">
        <v>58</v>
      </c>
      <c r="C82" s="95" t="s">
        <v>38</v>
      </c>
      <c r="D82" s="95" t="s">
        <v>9</v>
      </c>
      <c r="F82" s="2"/>
      <c r="G82" s="2"/>
      <c r="K82" s="6"/>
    </row>
    <row r="83" spans="1:13" ht="20.100000000000001" customHeight="1">
      <c r="A83" s="95" t="s">
        <v>1</v>
      </c>
      <c r="B83" s="47" t="s">
        <v>59</v>
      </c>
      <c r="C83" s="55">
        <f>1/12</f>
        <v>8.3299999999999999E-2</v>
      </c>
      <c r="D83" s="49">
        <f t="shared" ref="D83:D89" si="1">ROUND(($D$27+$D$67+$D$77)*C83,2)</f>
        <v>302.98</v>
      </c>
      <c r="F83" s="186" t="s">
        <v>128</v>
      </c>
      <c r="G83" s="186"/>
      <c r="H83" s="186"/>
      <c r="I83" s="77"/>
      <c r="J83" s="77"/>
      <c r="K83" s="78"/>
    </row>
    <row r="84" spans="1:13" ht="20.100000000000001" customHeight="1">
      <c r="A84" s="95" t="s">
        <v>3</v>
      </c>
      <c r="B84" s="47" t="s">
        <v>58</v>
      </c>
      <c r="C84" s="55">
        <f>0.05/365</f>
        <v>1E-4</v>
      </c>
      <c r="D84" s="49">
        <f t="shared" si="1"/>
        <v>0.36</v>
      </c>
      <c r="E84" s="4"/>
      <c r="F84" s="186" t="s">
        <v>129</v>
      </c>
      <c r="G84" s="186"/>
      <c r="H84" s="186"/>
      <c r="I84" s="77"/>
      <c r="J84" s="77"/>
      <c r="K84" s="77"/>
    </row>
    <row r="85" spans="1:13" ht="27" customHeight="1">
      <c r="A85" s="95" t="s">
        <v>4</v>
      </c>
      <c r="B85" s="47" t="s">
        <v>110</v>
      </c>
      <c r="C85" s="55">
        <f>5/30/12*0.005</f>
        <v>1E-4</v>
      </c>
      <c r="D85" s="49">
        <f t="shared" si="1"/>
        <v>0.36</v>
      </c>
      <c r="F85" s="186" t="s">
        <v>139</v>
      </c>
      <c r="G85" s="186"/>
      <c r="H85" s="186"/>
      <c r="I85" s="186"/>
      <c r="J85" s="186"/>
      <c r="K85" s="186"/>
    </row>
    <row r="86" spans="1:13" ht="20.100000000000001" customHeight="1">
      <c r="A86" s="95" t="s">
        <v>5</v>
      </c>
      <c r="B86" s="47" t="s">
        <v>28</v>
      </c>
      <c r="C86" s="55">
        <f>15/30/12*0.003</f>
        <v>1E-4</v>
      </c>
      <c r="D86" s="49">
        <f t="shared" si="1"/>
        <v>0.36</v>
      </c>
      <c r="F86" s="186" t="s">
        <v>130</v>
      </c>
      <c r="G86" s="186"/>
      <c r="H86" s="186"/>
      <c r="I86" s="186"/>
      <c r="J86" s="186"/>
      <c r="K86" s="186"/>
    </row>
    <row r="87" spans="1:13" ht="22.5" customHeight="1">
      <c r="A87" s="95" t="s">
        <v>12</v>
      </c>
      <c r="B87" s="47" t="s">
        <v>111</v>
      </c>
      <c r="C87" s="55">
        <f>0.005*(4/12)/12</f>
        <v>1E-4</v>
      </c>
      <c r="D87" s="49">
        <f t="shared" si="1"/>
        <v>0.36</v>
      </c>
      <c r="F87" s="186" t="s">
        <v>140</v>
      </c>
      <c r="G87" s="186"/>
      <c r="H87" s="186"/>
      <c r="I87" s="186"/>
      <c r="J87" s="186"/>
      <c r="K87" s="186"/>
    </row>
    <row r="88" spans="1:13" ht="20.100000000000001" customHeight="1">
      <c r="A88" s="95" t="s">
        <v>13</v>
      </c>
      <c r="B88" s="47" t="s">
        <v>85</v>
      </c>
      <c r="C88" s="55">
        <f>0.05/365</f>
        <v>1E-4</v>
      </c>
      <c r="D88" s="49">
        <f t="shared" si="1"/>
        <v>0.36</v>
      </c>
      <c r="E88" s="5"/>
      <c r="F88" s="186" t="s">
        <v>131</v>
      </c>
      <c r="G88" s="186"/>
      <c r="H88" s="186"/>
      <c r="I88" s="77"/>
      <c r="J88" s="77"/>
      <c r="K88" s="77"/>
    </row>
    <row r="89" spans="1:13" ht="20.100000000000001" customHeight="1">
      <c r="A89" s="95" t="s">
        <v>14</v>
      </c>
      <c r="B89" s="47" t="s">
        <v>84</v>
      </c>
      <c r="C89" s="55"/>
      <c r="D89" s="49">
        <f t="shared" si="1"/>
        <v>0</v>
      </c>
      <c r="E89" s="5"/>
      <c r="F89" s="189" t="s">
        <v>162</v>
      </c>
      <c r="G89" s="189"/>
      <c r="H89" s="189"/>
      <c r="I89" s="189"/>
      <c r="J89" s="189"/>
      <c r="K89" s="189"/>
    </row>
    <row r="90" spans="1:13" ht="20.100000000000001" customHeight="1">
      <c r="A90" s="159" t="s">
        <v>22</v>
      </c>
      <c r="B90" s="159"/>
      <c r="C90" s="51">
        <f>ROUND(SUM(C83:C89),4)</f>
        <v>8.3799999999999999E-2</v>
      </c>
      <c r="D90" s="42">
        <f>ROUND(SUM(D83:D89),2)</f>
        <v>304.77999999999997</v>
      </c>
      <c r="F90" s="74"/>
      <c r="M90" s="5"/>
    </row>
    <row r="91" spans="1:13" ht="20.100000000000001" customHeight="1">
      <c r="A91" s="99"/>
      <c r="B91" s="99"/>
      <c r="C91" s="32"/>
      <c r="D91" s="43"/>
      <c r="F91" s="13"/>
      <c r="M91" s="13"/>
    </row>
    <row r="92" spans="1:13" ht="20.100000000000001" customHeight="1">
      <c r="A92" s="161" t="s">
        <v>60</v>
      </c>
      <c r="B92" s="161"/>
      <c r="C92" s="161"/>
      <c r="D92" s="161"/>
    </row>
    <row r="93" spans="1:13" ht="20.100000000000001" customHeight="1">
      <c r="A93" s="95" t="s">
        <v>21</v>
      </c>
      <c r="B93" s="50" t="s">
        <v>61</v>
      </c>
      <c r="C93" s="95" t="s">
        <v>38</v>
      </c>
      <c r="D93" s="95" t="s">
        <v>9</v>
      </c>
      <c r="E93" s="3"/>
    </row>
    <row r="94" spans="1:13" ht="20.100000000000001" customHeight="1">
      <c r="A94" s="95" t="s">
        <v>1</v>
      </c>
      <c r="B94" s="47" t="s">
        <v>62</v>
      </c>
      <c r="C94" s="55">
        <f>D94/D27</f>
        <v>0.1023</v>
      </c>
      <c r="D94" s="41">
        <f>D27/220*1.5*1*15</f>
        <v>180.41</v>
      </c>
      <c r="E94" s="7"/>
    </row>
    <row r="95" spans="1:13" ht="20.100000000000001" customHeight="1">
      <c r="A95" s="164" t="s">
        <v>22</v>
      </c>
      <c r="B95" s="165"/>
      <c r="C95" s="166"/>
      <c r="D95" s="41">
        <f>ROUND(D94,2)</f>
        <v>180.41</v>
      </c>
    </row>
    <row r="96" spans="1:13" ht="20.100000000000001" customHeight="1">
      <c r="A96" s="31"/>
      <c r="B96" s="38"/>
      <c r="C96" s="31"/>
      <c r="D96" s="43"/>
    </row>
    <row r="97" spans="1:5" ht="20.100000000000001" customHeight="1">
      <c r="A97" s="161" t="s">
        <v>63</v>
      </c>
      <c r="B97" s="161"/>
      <c r="C97" s="161"/>
      <c r="D97" s="161"/>
    </row>
    <row r="98" spans="1:5" ht="20.100000000000001" customHeight="1">
      <c r="A98" s="95">
        <v>4</v>
      </c>
      <c r="B98" s="159" t="s">
        <v>64</v>
      </c>
      <c r="C98" s="159"/>
      <c r="D98" s="95" t="s">
        <v>9</v>
      </c>
    </row>
    <row r="99" spans="1:5" ht="20.100000000000001" customHeight="1">
      <c r="A99" s="52" t="s">
        <v>20</v>
      </c>
      <c r="B99" s="155" t="s">
        <v>58</v>
      </c>
      <c r="C99" s="155"/>
      <c r="D99" s="49">
        <f>ROUND(D90,2)</f>
        <v>304.77999999999997</v>
      </c>
    </row>
    <row r="100" spans="1:5" ht="20.100000000000001" customHeight="1">
      <c r="A100" s="52" t="s">
        <v>21</v>
      </c>
      <c r="B100" s="155" t="s">
        <v>61</v>
      </c>
      <c r="C100" s="155"/>
      <c r="D100" s="49">
        <f>ROUND(D95,2)</f>
        <v>180.41</v>
      </c>
    </row>
    <row r="101" spans="1:5" ht="20.100000000000001" customHeight="1">
      <c r="A101" s="159" t="s">
        <v>22</v>
      </c>
      <c r="B101" s="159"/>
      <c r="C101" s="159"/>
      <c r="D101" s="42">
        <f>ROUND(SUM(D99:D100),2)</f>
        <v>485.19</v>
      </c>
    </row>
    <row r="102" spans="1:5" ht="20.100000000000001" customHeight="1">
      <c r="A102" s="31"/>
      <c r="B102" s="38"/>
      <c r="C102" s="31"/>
      <c r="D102" s="43"/>
      <c r="E102" s="5"/>
    </row>
    <row r="103" spans="1:5" ht="20.100000000000001" customHeight="1">
      <c r="A103" s="158" t="s">
        <v>65</v>
      </c>
      <c r="B103" s="158"/>
      <c r="C103" s="158"/>
      <c r="D103" s="158"/>
    </row>
    <row r="104" spans="1:5" ht="20.100000000000001" customHeight="1">
      <c r="A104" s="96">
        <v>5</v>
      </c>
      <c r="B104" s="158" t="s">
        <v>103</v>
      </c>
      <c r="C104" s="158"/>
      <c r="D104" s="96" t="s">
        <v>9</v>
      </c>
    </row>
    <row r="105" spans="1:5" ht="20.100000000000001" customHeight="1">
      <c r="A105" s="96" t="s">
        <v>1</v>
      </c>
      <c r="B105" s="163" t="s">
        <v>89</v>
      </c>
      <c r="C105" s="163"/>
      <c r="D105" s="41">
        <f>VLOOKUP(A14,'Entrada de dados'!A2:N10,9,FALSE)</f>
        <v>19.16</v>
      </c>
    </row>
    <row r="106" spans="1:5" ht="20.100000000000001" customHeight="1">
      <c r="A106" s="96" t="s">
        <v>3</v>
      </c>
      <c r="B106" s="163" t="s">
        <v>321</v>
      </c>
      <c r="C106" s="163"/>
      <c r="D106" s="41">
        <f>VLOOKUP(A14,'Entrada de dados'!A2:N10,10,FALSE)</f>
        <v>198.91</v>
      </c>
    </row>
    <row r="107" spans="1:5" ht="20.100000000000001" customHeight="1">
      <c r="A107" s="96" t="s">
        <v>3</v>
      </c>
      <c r="B107" s="163" t="s">
        <v>83</v>
      </c>
      <c r="C107" s="163"/>
      <c r="D107" s="41">
        <f>VLOOKUP(A14,'Entrada de dados'!A2:N10,11,FALSE)</f>
        <v>7.08</v>
      </c>
    </row>
    <row r="108" spans="1:5" ht="20.100000000000001" customHeight="1">
      <c r="A108" s="96" t="s">
        <v>3</v>
      </c>
      <c r="B108" s="163" t="s">
        <v>322</v>
      </c>
      <c r="C108" s="163"/>
      <c r="D108" s="41">
        <f>VLOOKUP(A14,'Entrada de dados'!A2:N10,12,FALSE)</f>
        <v>205.86</v>
      </c>
    </row>
    <row r="109" spans="1:5" ht="20.100000000000001" customHeight="1">
      <c r="A109" s="96" t="s">
        <v>3</v>
      </c>
      <c r="B109" s="163" t="s">
        <v>141</v>
      </c>
      <c r="C109" s="163"/>
      <c r="D109" s="41">
        <f>VLOOKUP(A14,'Entrada de dados'!A2:N10,13,FALSE)</f>
        <v>18.78</v>
      </c>
    </row>
    <row r="110" spans="1:5" ht="20.100000000000001" customHeight="1">
      <c r="A110" s="58" t="s">
        <v>4</v>
      </c>
      <c r="B110" s="163" t="s">
        <v>323</v>
      </c>
      <c r="C110" s="163"/>
      <c r="D110" s="41">
        <f>VLOOKUP(A14,'Entrada de dados'!A2:N10,14,FALSE)</f>
        <v>25.67</v>
      </c>
    </row>
    <row r="111" spans="1:5" ht="20.100000000000001" customHeight="1">
      <c r="A111" s="58" t="s">
        <v>5</v>
      </c>
      <c r="B111" s="163" t="s">
        <v>324</v>
      </c>
      <c r="C111" s="163"/>
      <c r="D111" s="41">
        <v>0</v>
      </c>
    </row>
    <row r="112" spans="1:5" ht="20.100000000000001" customHeight="1">
      <c r="A112" s="158" t="s">
        <v>19</v>
      </c>
      <c r="B112" s="158"/>
      <c r="C112" s="158"/>
      <c r="D112" s="54">
        <f>ROUND(SUM(D105:D111),2)</f>
        <v>475.46</v>
      </c>
    </row>
    <row r="113" spans="1:8" ht="20.100000000000001" customHeight="1">
      <c r="A113" s="167"/>
      <c r="B113" s="167"/>
      <c r="C113" s="167"/>
      <c r="D113" s="32"/>
    </row>
    <row r="114" spans="1:8" ht="20.100000000000001" customHeight="1">
      <c r="A114" s="158" t="s">
        <v>79</v>
      </c>
      <c r="B114" s="158"/>
      <c r="C114" s="158"/>
      <c r="D114" s="158"/>
    </row>
    <row r="115" spans="1:8" ht="20.100000000000001" customHeight="1">
      <c r="A115" s="95">
        <v>6</v>
      </c>
      <c r="B115" s="50" t="s">
        <v>24</v>
      </c>
      <c r="C115" s="95" t="s">
        <v>38</v>
      </c>
      <c r="D115" s="95" t="s">
        <v>9</v>
      </c>
    </row>
    <row r="116" spans="1:8" ht="20.100000000000001" customHeight="1">
      <c r="A116" s="95" t="s">
        <v>1</v>
      </c>
      <c r="B116" s="47" t="s">
        <v>25</v>
      </c>
      <c r="C116" s="59">
        <v>1E-3</v>
      </c>
      <c r="D116" s="41">
        <f>D132*C116</f>
        <v>4.5999999999999996</v>
      </c>
    </row>
    <row r="117" spans="1:8" ht="20.100000000000001" customHeight="1">
      <c r="A117" s="95" t="s">
        <v>3</v>
      </c>
      <c r="B117" s="47" t="s">
        <v>66</v>
      </c>
      <c r="C117" s="59">
        <f>'1'!C117</f>
        <v>7.7999999999999996E-3</v>
      </c>
      <c r="D117" s="41">
        <f>(D132+D116)*C117</f>
        <v>35.9</v>
      </c>
      <c r="E117" s="126"/>
    </row>
    <row r="118" spans="1:8" ht="20.100000000000001" customHeight="1">
      <c r="A118" s="95" t="s">
        <v>4</v>
      </c>
      <c r="B118" s="47" t="s">
        <v>67</v>
      </c>
      <c r="C118" s="60"/>
      <c r="D118" s="41"/>
    </row>
    <row r="119" spans="1:8" ht="20.100000000000001" customHeight="1">
      <c r="A119" s="95"/>
      <c r="B119" s="47" t="s">
        <v>88</v>
      </c>
      <c r="C119" s="61">
        <v>6.4999999999999997E-3</v>
      </c>
      <c r="D119" s="41">
        <f>ROUND((D132+D116+D117)/(1-$C$122)*C119,2)</f>
        <v>33</v>
      </c>
      <c r="F119" s="187"/>
    </row>
    <row r="120" spans="1:8" ht="20.100000000000001" customHeight="1">
      <c r="A120" s="95"/>
      <c r="B120" s="47" t="s">
        <v>87</v>
      </c>
      <c r="C120" s="61">
        <v>0.03</v>
      </c>
      <c r="D120" s="41">
        <f>ROUND((D132+D116+D117)/(1-$C$122)*C120,2)</f>
        <v>152.33000000000001</v>
      </c>
      <c r="F120" s="187"/>
    </row>
    <row r="121" spans="1:8" ht="20.100000000000001" customHeight="1">
      <c r="A121" s="52"/>
      <c r="B121" s="47" t="s">
        <v>86</v>
      </c>
      <c r="C121" s="61">
        <v>0.05</v>
      </c>
      <c r="D121" s="41">
        <f>ROUND((D132+D116+D117)/(1-$C$122)*C121,2)</f>
        <v>253.88</v>
      </c>
      <c r="F121" s="70" t="s">
        <v>165</v>
      </c>
      <c r="G121" s="70"/>
      <c r="H121" s="70"/>
    </row>
    <row r="122" spans="1:8" ht="20.100000000000001" customHeight="1">
      <c r="A122" s="95"/>
      <c r="B122" s="62" t="s">
        <v>80</v>
      </c>
      <c r="C122" s="60">
        <f>SUM(C119:C121)</f>
        <v>8.6499999999999994E-2</v>
      </c>
      <c r="D122" s="42">
        <f>ROUND(SUM(D119:D121),2)</f>
        <v>439.21</v>
      </c>
    </row>
    <row r="123" spans="1:8" ht="20.100000000000001" customHeight="1">
      <c r="A123" s="164" t="s">
        <v>81</v>
      </c>
      <c r="B123" s="165"/>
      <c r="C123" s="166"/>
      <c r="D123" s="42">
        <f>ROUND(D122+D116+D117,2)</f>
        <v>479.71</v>
      </c>
    </row>
    <row r="124" spans="1:8" ht="20.100000000000001" customHeight="1">
      <c r="A124" s="63"/>
      <c r="B124" s="32"/>
      <c r="C124" s="32"/>
      <c r="D124" s="32"/>
    </row>
    <row r="125" spans="1:8" ht="20.100000000000001" customHeight="1">
      <c r="A125" s="161" t="s">
        <v>68</v>
      </c>
      <c r="B125" s="161"/>
      <c r="C125" s="161"/>
      <c r="D125" s="161"/>
    </row>
    <row r="126" spans="1:8" ht="20.100000000000001" customHeight="1">
      <c r="A126" s="52"/>
      <c r="B126" s="159" t="s">
        <v>69</v>
      </c>
      <c r="C126" s="159"/>
      <c r="D126" s="95" t="s">
        <v>9</v>
      </c>
    </row>
    <row r="127" spans="1:8" ht="20.100000000000001" customHeight="1">
      <c r="A127" s="95" t="s">
        <v>1</v>
      </c>
      <c r="B127" s="155" t="s">
        <v>26</v>
      </c>
      <c r="C127" s="155"/>
      <c r="D127" s="64">
        <f>ROUND(D27,2)</f>
        <v>1764</v>
      </c>
      <c r="F127" s="27" t="s">
        <v>132</v>
      </c>
    </row>
    <row r="128" spans="1:8" ht="25.5">
      <c r="A128" s="95" t="s">
        <v>3</v>
      </c>
      <c r="B128" s="155" t="s">
        <v>70</v>
      </c>
      <c r="C128" s="155"/>
      <c r="D128" s="65">
        <f>ROUND(D67,2)</f>
        <v>1742.56</v>
      </c>
      <c r="F128" s="27" t="s">
        <v>133</v>
      </c>
      <c r="G128" s="2"/>
    </row>
    <row r="129" spans="1:7" ht="25.5">
      <c r="A129" s="95" t="s">
        <v>4</v>
      </c>
      <c r="B129" s="155" t="s">
        <v>52</v>
      </c>
      <c r="C129" s="155"/>
      <c r="D129" s="64">
        <f>ROUND(D77,2)</f>
        <v>130.71</v>
      </c>
      <c r="F129" s="27" t="s">
        <v>134</v>
      </c>
    </row>
    <row r="130" spans="1:7" ht="25.5">
      <c r="A130" s="95" t="s">
        <v>5</v>
      </c>
      <c r="B130" s="155" t="s">
        <v>56</v>
      </c>
      <c r="C130" s="155"/>
      <c r="D130" s="64">
        <f>ROUND(D101,2)</f>
        <v>485.19</v>
      </c>
      <c r="F130" s="27" t="s">
        <v>135</v>
      </c>
    </row>
    <row r="131" spans="1:7" ht="25.5">
      <c r="A131" s="95" t="s">
        <v>12</v>
      </c>
      <c r="B131" s="155" t="s">
        <v>71</v>
      </c>
      <c r="C131" s="155"/>
      <c r="D131" s="64">
        <f>ROUND(D112,2)</f>
        <v>475.46</v>
      </c>
      <c r="F131" s="27" t="s">
        <v>136</v>
      </c>
    </row>
    <row r="132" spans="1:7" ht="25.5">
      <c r="A132" s="159" t="s">
        <v>72</v>
      </c>
      <c r="B132" s="159"/>
      <c r="C132" s="159"/>
      <c r="D132" s="64">
        <f>ROUND(SUM(D127:D131),2)</f>
        <v>4597.92</v>
      </c>
      <c r="F132" s="27" t="s">
        <v>137</v>
      </c>
    </row>
    <row r="133" spans="1:7" ht="20.100000000000001" customHeight="1">
      <c r="A133" s="95" t="s">
        <v>13</v>
      </c>
      <c r="B133" s="155" t="s">
        <v>73</v>
      </c>
      <c r="C133" s="155"/>
      <c r="D133" s="64">
        <f>ROUND(D123,2)</f>
        <v>479.71</v>
      </c>
    </row>
    <row r="134" spans="1:7" ht="20.100000000000001" customHeight="1">
      <c r="A134" s="159" t="s">
        <v>82</v>
      </c>
      <c r="B134" s="159"/>
      <c r="C134" s="159"/>
      <c r="D134" s="64">
        <f>ROUND(D132+D133,2)</f>
        <v>5077.63</v>
      </c>
    </row>
    <row r="135" spans="1:7" ht="20.100000000000001" customHeight="1">
      <c r="A135" s="63"/>
      <c r="B135" s="32"/>
      <c r="C135" s="32"/>
      <c r="D135" s="32"/>
    </row>
    <row r="136" spans="1:7" ht="20.100000000000001" customHeight="1">
      <c r="A136" s="161" t="s">
        <v>74</v>
      </c>
      <c r="B136" s="161"/>
      <c r="C136" s="161"/>
      <c r="D136" s="161"/>
    </row>
    <row r="137" spans="1:7" ht="20.100000000000001" customHeight="1">
      <c r="A137" s="159" t="s">
        <v>75</v>
      </c>
      <c r="B137" s="159"/>
      <c r="C137" s="159"/>
      <c r="D137" s="159"/>
    </row>
    <row r="138" spans="1:7" ht="20.100000000000001" customHeight="1">
      <c r="A138" s="52"/>
      <c r="B138" s="159" t="s">
        <v>76</v>
      </c>
      <c r="C138" s="159"/>
      <c r="D138" s="95" t="s">
        <v>77</v>
      </c>
    </row>
    <row r="139" spans="1:7" ht="20.100000000000001" customHeight="1">
      <c r="A139" s="95" t="s">
        <v>1</v>
      </c>
      <c r="B139" s="155" t="s">
        <v>143</v>
      </c>
      <c r="C139" s="155"/>
      <c r="D139" s="66">
        <f>D134</f>
        <v>5077.63</v>
      </c>
      <c r="G139" s="9"/>
    </row>
    <row r="140" spans="1:7" ht="20.100000000000001" customHeight="1">
      <c r="A140" s="95" t="s">
        <v>3</v>
      </c>
      <c r="B140" s="155" t="s">
        <v>96</v>
      </c>
      <c r="C140" s="155"/>
      <c r="D140" s="67">
        <f>D14</f>
        <v>42</v>
      </c>
    </row>
    <row r="141" spans="1:7" ht="20.100000000000001" customHeight="1">
      <c r="A141" s="95" t="s">
        <v>4</v>
      </c>
      <c r="B141" s="155" t="s">
        <v>144</v>
      </c>
      <c r="C141" s="155"/>
      <c r="D141" s="68">
        <f>D139*D140</f>
        <v>213260.46</v>
      </c>
    </row>
    <row r="142" spans="1:7" ht="30.75" customHeight="1">
      <c r="A142" s="95" t="s">
        <v>5</v>
      </c>
      <c r="B142" s="155" t="s">
        <v>78</v>
      </c>
      <c r="C142" s="155"/>
      <c r="D142" s="69">
        <f>D141*30</f>
        <v>6397813.7999999998</v>
      </c>
    </row>
    <row r="144" spans="1:7">
      <c r="A144" s="162"/>
      <c r="B144" s="162"/>
      <c r="C144" s="162"/>
      <c r="D144" s="162"/>
    </row>
    <row r="148" spans="1:4">
      <c r="A148" s="162"/>
      <c r="B148" s="162"/>
      <c r="C148" s="162"/>
      <c r="D148" s="162"/>
    </row>
    <row r="149" spans="1:4">
      <c r="A149" s="162"/>
      <c r="B149" s="162"/>
      <c r="C149" s="162"/>
      <c r="D149" s="162"/>
    </row>
    <row r="150" spans="1:4">
      <c r="A150" s="162"/>
      <c r="B150" s="162"/>
      <c r="C150" s="162"/>
      <c r="D150" s="162"/>
    </row>
    <row r="151" spans="1:4">
      <c r="A151" s="162"/>
      <c r="B151" s="162"/>
      <c r="C151" s="162"/>
      <c r="D151" s="162"/>
    </row>
  </sheetData>
  <mergeCells count="108">
    <mergeCell ref="A144:D144"/>
    <mergeCell ref="A148:D148"/>
    <mergeCell ref="A149:D149"/>
    <mergeCell ref="A150:D150"/>
    <mergeCell ref="A151:D151"/>
    <mergeCell ref="A137:D137"/>
    <mergeCell ref="B138:C138"/>
    <mergeCell ref="B139:C139"/>
    <mergeCell ref="B140:C140"/>
    <mergeCell ref="B141:C141"/>
    <mergeCell ref="B142:C142"/>
    <mergeCell ref="B130:C130"/>
    <mergeCell ref="B131:C131"/>
    <mergeCell ref="A132:C132"/>
    <mergeCell ref="B133:C133"/>
    <mergeCell ref="A134:C134"/>
    <mergeCell ref="A136:D136"/>
    <mergeCell ref="A123:C123"/>
    <mergeCell ref="A125:D125"/>
    <mergeCell ref="B126:C126"/>
    <mergeCell ref="B127:C127"/>
    <mergeCell ref="B128:C128"/>
    <mergeCell ref="B129:C129"/>
    <mergeCell ref="B110:C110"/>
    <mergeCell ref="B111:C111"/>
    <mergeCell ref="A112:C112"/>
    <mergeCell ref="A113:C113"/>
    <mergeCell ref="A114:D114"/>
    <mergeCell ref="F119:F120"/>
    <mergeCell ref="B104:C104"/>
    <mergeCell ref="B105:C105"/>
    <mergeCell ref="B106:C106"/>
    <mergeCell ref="B107:C107"/>
    <mergeCell ref="B108:C108"/>
    <mergeCell ref="B109:C109"/>
    <mergeCell ref="A97:D97"/>
    <mergeCell ref="B98:C98"/>
    <mergeCell ref="B99:C99"/>
    <mergeCell ref="B100:C100"/>
    <mergeCell ref="A101:C101"/>
    <mergeCell ref="A103:D103"/>
    <mergeCell ref="F87:K87"/>
    <mergeCell ref="F88:H88"/>
    <mergeCell ref="F89:K89"/>
    <mergeCell ref="A90:B90"/>
    <mergeCell ref="A92:D92"/>
    <mergeCell ref="A95:C95"/>
    <mergeCell ref="A79:D79"/>
    <mergeCell ref="A81:D81"/>
    <mergeCell ref="F83:H83"/>
    <mergeCell ref="F84:H84"/>
    <mergeCell ref="F85:K85"/>
    <mergeCell ref="F86:K86"/>
    <mergeCell ref="F72:H72"/>
    <mergeCell ref="F73:K73"/>
    <mergeCell ref="F74:K74"/>
    <mergeCell ref="F75:H75"/>
    <mergeCell ref="F76:H76"/>
    <mergeCell ref="A77:B77"/>
    <mergeCell ref="B64:C64"/>
    <mergeCell ref="B65:C65"/>
    <mergeCell ref="B66:C66"/>
    <mergeCell ref="A67:C67"/>
    <mergeCell ref="A69:D69"/>
    <mergeCell ref="F71:K71"/>
    <mergeCell ref="B57:C57"/>
    <mergeCell ref="B58:C58"/>
    <mergeCell ref="B59:C59"/>
    <mergeCell ref="A60:C60"/>
    <mergeCell ref="A62:D62"/>
    <mergeCell ref="B63:C63"/>
    <mergeCell ref="A51:D51"/>
    <mergeCell ref="B52:C52"/>
    <mergeCell ref="B53:C53"/>
    <mergeCell ref="B54:C54"/>
    <mergeCell ref="B55:C55"/>
    <mergeCell ref="B56:C56"/>
    <mergeCell ref="A27:C27"/>
    <mergeCell ref="A29:D29"/>
    <mergeCell ref="A31:D31"/>
    <mergeCell ref="A37:B37"/>
    <mergeCell ref="A39:D39"/>
    <mergeCell ref="A49:B49"/>
    <mergeCell ref="B21:C21"/>
    <mergeCell ref="B22:C22"/>
    <mergeCell ref="B23:C23"/>
    <mergeCell ref="B24:C24"/>
    <mergeCell ref="B25:C25"/>
    <mergeCell ref="B26:C26"/>
    <mergeCell ref="D14:D15"/>
    <mergeCell ref="A16:C16"/>
    <mergeCell ref="A17:C17"/>
    <mergeCell ref="A18:C18"/>
    <mergeCell ref="A19:D19"/>
    <mergeCell ref="B20:C20"/>
    <mergeCell ref="B8:C8"/>
    <mergeCell ref="B9:C9"/>
    <mergeCell ref="B10:C10"/>
    <mergeCell ref="B11:C11"/>
    <mergeCell ref="A13:B13"/>
    <mergeCell ref="A14:B15"/>
    <mergeCell ref="C14:C15"/>
    <mergeCell ref="A1:D1"/>
    <mergeCell ref="A2:D2"/>
    <mergeCell ref="A3:D3"/>
    <mergeCell ref="A4:D4"/>
    <mergeCell ref="B5:D5"/>
    <mergeCell ref="A7:D7"/>
  </mergeCells>
  <printOptions horizontalCentered="1"/>
  <pageMargins left="0.39370078740157483" right="0.39370078740157483" top="1.9685039370078741" bottom="0.78740157480314965" header="0" footer="0"/>
  <pageSetup paperSize="9" scale="80" fitToHeight="0" orientation="portrait" r:id="rId1"/>
  <rowBreaks count="1" manualBreakCount="1">
    <brk id="67" max="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1"/>
  <sheetViews>
    <sheetView topLeftCell="A70" zoomScale="70" zoomScaleNormal="70" zoomScaleSheetLayoutView="110" workbookViewId="0">
      <selection activeCell="D143" sqref="D143"/>
    </sheetView>
  </sheetViews>
  <sheetFormatPr defaultColWidth="9.140625" defaultRowHeight="12.75"/>
  <cols>
    <col min="1" max="1" width="6" style="100" customWidth="1"/>
    <col min="2" max="2" width="62.7109375" style="1" customWidth="1"/>
    <col min="3" max="3" width="18.5703125" style="1" customWidth="1"/>
    <col min="4" max="4" width="30.7109375" style="1" customWidth="1"/>
    <col min="5" max="5" width="17.42578125" style="1" customWidth="1"/>
    <col min="6" max="6" width="102.42578125" style="1" customWidth="1"/>
    <col min="7" max="7" width="10.5703125" style="1" customWidth="1"/>
    <col min="8" max="8" width="43.85546875" style="1" customWidth="1"/>
    <col min="9" max="10" width="9.140625" style="1"/>
    <col min="11" max="11" width="11" style="1" customWidth="1"/>
    <col min="12" max="16384" width="9.140625" style="1"/>
  </cols>
  <sheetData>
    <row r="1" spans="1:4">
      <c r="A1" s="173" t="s">
        <v>93</v>
      </c>
      <c r="B1" s="173"/>
      <c r="C1" s="173"/>
      <c r="D1" s="173"/>
    </row>
    <row r="2" spans="1:4" ht="4.5" customHeight="1">
      <c r="A2" s="173"/>
      <c r="B2" s="173"/>
      <c r="C2" s="173"/>
      <c r="D2" s="173"/>
    </row>
    <row r="3" spans="1:4" ht="20.100000000000001" customHeight="1">
      <c r="A3" s="181" t="s">
        <v>315</v>
      </c>
      <c r="B3" s="179"/>
      <c r="C3" s="179"/>
      <c r="D3" s="180"/>
    </row>
    <row r="4" spans="1:4" ht="20.100000000000001" customHeight="1">
      <c r="A4" s="181" t="s">
        <v>316</v>
      </c>
      <c r="B4" s="179"/>
      <c r="C4" s="179"/>
      <c r="D4" s="180"/>
    </row>
    <row r="5" spans="1:4" ht="20.100000000000001" customHeight="1">
      <c r="A5" s="28"/>
      <c r="B5" s="178"/>
      <c r="C5" s="179"/>
      <c r="D5" s="180"/>
    </row>
    <row r="6" spans="1:4" ht="20.100000000000001" customHeight="1">
      <c r="A6" s="29"/>
      <c r="B6" s="30"/>
      <c r="C6" s="31"/>
      <c r="D6" s="32"/>
    </row>
    <row r="7" spans="1:4" ht="20.100000000000001" customHeight="1">
      <c r="A7" s="174" t="s">
        <v>0</v>
      </c>
      <c r="B7" s="175"/>
      <c r="C7" s="175"/>
      <c r="D7" s="176"/>
    </row>
    <row r="8" spans="1:4" ht="20.100000000000001" customHeight="1">
      <c r="A8" s="96" t="s">
        <v>1</v>
      </c>
      <c r="B8" s="177" t="s">
        <v>2</v>
      </c>
      <c r="C8" s="177"/>
      <c r="D8" s="34">
        <v>45783</v>
      </c>
    </row>
    <row r="9" spans="1:4" ht="30" customHeight="1">
      <c r="A9" s="96" t="s">
        <v>3</v>
      </c>
      <c r="B9" s="177" t="s">
        <v>159</v>
      </c>
      <c r="C9" s="177"/>
      <c r="D9" s="94" t="s">
        <v>317</v>
      </c>
    </row>
    <row r="10" spans="1:4" ht="20.100000000000001" customHeight="1">
      <c r="A10" s="96" t="s">
        <v>4</v>
      </c>
      <c r="B10" s="177" t="s">
        <v>142</v>
      </c>
      <c r="C10" s="177"/>
      <c r="D10" s="36" t="str">
        <f>VLOOKUP(A14,'Entrada de dados'!$A$1:$N$8,2,FALSE)</f>
        <v>PR000074/2025</v>
      </c>
    </row>
    <row r="11" spans="1:4" ht="20.100000000000001" customHeight="1">
      <c r="A11" s="96" t="s">
        <v>5</v>
      </c>
      <c r="B11" s="177" t="s">
        <v>6</v>
      </c>
      <c r="C11" s="177"/>
      <c r="D11" s="37">
        <v>30</v>
      </c>
    </row>
    <row r="12" spans="1:4" ht="20.100000000000001" customHeight="1">
      <c r="A12" s="31"/>
      <c r="B12" s="38"/>
      <c r="C12" s="31"/>
      <c r="D12" s="32"/>
    </row>
    <row r="13" spans="1:4" ht="27" customHeight="1">
      <c r="A13" s="156" t="s">
        <v>91</v>
      </c>
      <c r="B13" s="156"/>
      <c r="C13" s="94" t="s">
        <v>90</v>
      </c>
      <c r="D13" s="94" t="s">
        <v>100</v>
      </c>
    </row>
    <row r="14" spans="1:4" ht="20.100000000000001" customHeight="1">
      <c r="A14" s="182" t="str">
        <f>'Quadro Resumo'!D9</f>
        <v>SERVENTE DE LIMPEZA</v>
      </c>
      <c r="B14" s="183"/>
      <c r="C14" s="169" t="s">
        <v>92</v>
      </c>
      <c r="D14" s="171">
        <f>VLOOKUP(A14,'Quadro Resumo'!D3:G13,4,FALSE)</f>
        <v>42</v>
      </c>
    </row>
    <row r="15" spans="1:4" ht="20.100000000000001" customHeight="1">
      <c r="A15" s="184"/>
      <c r="B15" s="185"/>
      <c r="C15" s="170"/>
      <c r="D15" s="172"/>
    </row>
    <row r="16" spans="1:4" ht="20.100000000000001" customHeight="1">
      <c r="A16" s="152" t="s">
        <v>174</v>
      </c>
      <c r="B16" s="153"/>
      <c r="C16" s="154"/>
      <c r="D16" s="93">
        <v>44</v>
      </c>
    </row>
    <row r="17" spans="1:6" ht="20.100000000000001" customHeight="1">
      <c r="A17" s="152" t="s">
        <v>160</v>
      </c>
      <c r="B17" s="153"/>
      <c r="C17" s="154"/>
      <c r="D17" s="79">
        <v>45689</v>
      </c>
    </row>
    <row r="18" spans="1:6" ht="20.100000000000001" customHeight="1">
      <c r="A18" s="190"/>
      <c r="B18" s="190"/>
      <c r="C18" s="190"/>
      <c r="D18" s="39"/>
    </row>
    <row r="19" spans="1:6" ht="20.100000000000001" customHeight="1">
      <c r="A19" s="158" t="s">
        <v>7</v>
      </c>
      <c r="B19" s="158"/>
      <c r="C19" s="158"/>
      <c r="D19" s="158"/>
    </row>
    <row r="20" spans="1:6" ht="20.100000000000001" customHeight="1">
      <c r="A20" s="40">
        <v>1</v>
      </c>
      <c r="B20" s="156" t="s">
        <v>8</v>
      </c>
      <c r="C20" s="156"/>
      <c r="D20" s="40" t="s">
        <v>9</v>
      </c>
    </row>
    <row r="21" spans="1:6" ht="20.100000000000001" customHeight="1">
      <c r="A21" s="94" t="s">
        <v>1</v>
      </c>
      <c r="B21" s="160" t="s">
        <v>10</v>
      </c>
      <c r="C21" s="160"/>
      <c r="D21" s="41">
        <f>VLOOKUP(A14,'Entrada de dados'!A2:H8,3,FALSE)/44*'8'!D16</f>
        <v>1764</v>
      </c>
      <c r="F21" s="26" t="s">
        <v>138</v>
      </c>
    </row>
    <row r="22" spans="1:6" ht="20.100000000000001" customHeight="1">
      <c r="A22" s="94" t="s">
        <v>3</v>
      </c>
      <c r="B22" s="160" t="s">
        <v>99</v>
      </c>
      <c r="C22" s="160"/>
      <c r="D22" s="41"/>
      <c r="F22" s="26" t="s">
        <v>161</v>
      </c>
    </row>
    <row r="23" spans="1:6" ht="20.100000000000001" customHeight="1">
      <c r="A23" s="94" t="s">
        <v>4</v>
      </c>
      <c r="B23" s="160" t="s">
        <v>98</v>
      </c>
      <c r="C23" s="160"/>
      <c r="D23" s="41">
        <v>0</v>
      </c>
      <c r="F23" s="71" t="s">
        <v>166</v>
      </c>
    </row>
    <row r="24" spans="1:6" ht="20.100000000000001" customHeight="1">
      <c r="A24" s="94" t="s">
        <v>5</v>
      </c>
      <c r="B24" s="160" t="s">
        <v>11</v>
      </c>
      <c r="C24" s="160"/>
      <c r="D24" s="41">
        <f>D21/220*0.2*7*15</f>
        <v>168.38</v>
      </c>
      <c r="F24" s="26" t="s">
        <v>161</v>
      </c>
    </row>
    <row r="25" spans="1:6" ht="20.100000000000001" customHeight="1">
      <c r="A25" s="94" t="s">
        <v>12</v>
      </c>
      <c r="B25" s="160" t="s">
        <v>29</v>
      </c>
      <c r="C25" s="160"/>
      <c r="D25" s="41">
        <f>D21/220*1.2*(((7*15)/52.5)*60-(7*15))</f>
        <v>144.33000000000001</v>
      </c>
      <c r="F25" s="26" t="s">
        <v>161</v>
      </c>
    </row>
    <row r="26" spans="1:6" ht="20.100000000000001" customHeight="1">
      <c r="A26" s="94" t="s">
        <v>13</v>
      </c>
      <c r="B26" s="160" t="s">
        <v>319</v>
      </c>
      <c r="C26" s="160"/>
      <c r="D26" s="41">
        <v>0</v>
      </c>
      <c r="F26" s="26" t="s">
        <v>161</v>
      </c>
    </row>
    <row r="27" spans="1:6" ht="20.100000000000001" customHeight="1">
      <c r="A27" s="156" t="s">
        <v>16</v>
      </c>
      <c r="B27" s="156"/>
      <c r="C27" s="156"/>
      <c r="D27" s="42">
        <f>SUM(D21:D26)</f>
        <v>2076.71</v>
      </c>
    </row>
    <row r="28" spans="1:6" ht="20.100000000000001" customHeight="1">
      <c r="A28" s="31"/>
      <c r="B28" s="38"/>
      <c r="C28" s="31"/>
      <c r="D28" s="43"/>
    </row>
    <row r="29" spans="1:6" ht="20.100000000000001" customHeight="1">
      <c r="A29" s="191" t="s">
        <v>30</v>
      </c>
      <c r="B29" s="191"/>
      <c r="C29" s="191"/>
      <c r="D29" s="191"/>
    </row>
    <row r="30" spans="1:6" ht="20.100000000000001" customHeight="1">
      <c r="A30" s="97"/>
      <c r="B30" s="99"/>
      <c r="C30" s="99"/>
      <c r="D30" s="43"/>
    </row>
    <row r="31" spans="1:6" ht="20.100000000000001" customHeight="1">
      <c r="A31" s="158" t="s">
        <v>31</v>
      </c>
      <c r="B31" s="158"/>
      <c r="C31" s="158"/>
      <c r="D31" s="158"/>
    </row>
    <row r="32" spans="1:6" ht="20.100000000000001" customHeight="1">
      <c r="A32" s="96" t="s">
        <v>32</v>
      </c>
      <c r="B32" s="96" t="s">
        <v>102</v>
      </c>
      <c r="C32" s="95" t="s">
        <v>38</v>
      </c>
      <c r="D32" s="96" t="s">
        <v>9</v>
      </c>
    </row>
    <row r="33" spans="1:13" ht="20.100000000000001" customHeight="1">
      <c r="A33" s="96" t="s">
        <v>1</v>
      </c>
      <c r="B33" s="47" t="s">
        <v>27</v>
      </c>
      <c r="C33" s="48">
        <v>8.3299999999999999E-2</v>
      </c>
      <c r="D33" s="49">
        <f>ROUND($D$27*C33,2)</f>
        <v>172.99</v>
      </c>
      <c r="F33" s="1" t="s">
        <v>113</v>
      </c>
    </row>
    <row r="34" spans="1:13" ht="20.100000000000001" customHeight="1">
      <c r="A34" s="96" t="s">
        <v>3</v>
      </c>
      <c r="B34" s="47" t="s">
        <v>184</v>
      </c>
      <c r="C34" s="48">
        <v>2.7799999999999998E-2</v>
      </c>
      <c r="D34" s="49">
        <f>ROUND($D$27*C34,2)</f>
        <v>57.73</v>
      </c>
      <c r="F34" s="25" t="s">
        <v>164</v>
      </c>
    </row>
    <row r="35" spans="1:13" ht="20.100000000000001" customHeight="1">
      <c r="A35" s="96" t="s">
        <v>4</v>
      </c>
      <c r="B35" s="50" t="s">
        <v>94</v>
      </c>
      <c r="C35" s="51">
        <f>SUM(C33:C34)</f>
        <v>0.1111</v>
      </c>
      <c r="D35" s="42">
        <f>SUM(D33:D34)</f>
        <v>230.72</v>
      </c>
    </row>
    <row r="36" spans="1:13" ht="20.100000000000001" customHeight="1">
      <c r="A36" s="96" t="s">
        <v>5</v>
      </c>
      <c r="B36" s="47" t="s">
        <v>95</v>
      </c>
      <c r="C36" s="48">
        <f>C35*C49</f>
        <v>0.04</v>
      </c>
      <c r="D36" s="49">
        <f>ROUND($D$27*C36,2)</f>
        <v>83.07</v>
      </c>
    </row>
    <row r="37" spans="1:13" ht="20.100000000000001" customHeight="1">
      <c r="A37" s="158" t="s">
        <v>34</v>
      </c>
      <c r="B37" s="158"/>
      <c r="C37" s="51">
        <f>SUM(C35:C36)</f>
        <v>0.15110000000000001</v>
      </c>
      <c r="D37" s="42">
        <f>SUM(D35:D36)</f>
        <v>313.79000000000002</v>
      </c>
      <c r="M37" s="5"/>
    </row>
    <row r="38" spans="1:13" ht="20.100000000000001" customHeight="1">
      <c r="A38" s="97"/>
      <c r="B38" s="97"/>
      <c r="C38" s="97"/>
      <c r="D38" s="43"/>
    </row>
    <row r="39" spans="1:13" ht="33" customHeight="1">
      <c r="A39" s="159" t="s">
        <v>35</v>
      </c>
      <c r="B39" s="159"/>
      <c r="C39" s="159"/>
      <c r="D39" s="159"/>
    </row>
    <row r="40" spans="1:13" ht="33.75" customHeight="1">
      <c r="A40" s="95" t="s">
        <v>36</v>
      </c>
      <c r="B40" s="50" t="s">
        <v>37</v>
      </c>
      <c r="C40" s="95" t="s">
        <v>38</v>
      </c>
      <c r="D40" s="95" t="s">
        <v>9</v>
      </c>
      <c r="E40" s="2"/>
    </row>
    <row r="41" spans="1:13" ht="20.100000000000001" customHeight="1">
      <c r="A41" s="52" t="s">
        <v>1</v>
      </c>
      <c r="B41" s="47" t="s">
        <v>39</v>
      </c>
      <c r="C41" s="48">
        <v>0.2</v>
      </c>
      <c r="D41" s="49">
        <f t="shared" ref="D41:D48" si="0">ROUND($D$27*C41,2)</f>
        <v>415.34</v>
      </c>
      <c r="F41" s="72" t="s">
        <v>114</v>
      </c>
    </row>
    <row r="42" spans="1:13" ht="20.100000000000001" customHeight="1">
      <c r="A42" s="52" t="s">
        <v>3</v>
      </c>
      <c r="B42" s="47" t="s">
        <v>40</v>
      </c>
      <c r="C42" s="48">
        <v>2.5000000000000001E-2</v>
      </c>
      <c r="D42" s="49">
        <f t="shared" si="0"/>
        <v>51.92</v>
      </c>
      <c r="F42" s="72" t="s">
        <v>115</v>
      </c>
    </row>
    <row r="43" spans="1:13" ht="20.100000000000001" customHeight="1">
      <c r="A43" s="52" t="s">
        <v>4</v>
      </c>
      <c r="B43" s="47" t="s">
        <v>41</v>
      </c>
      <c r="C43" s="48">
        <f>2%*1.0942</f>
        <v>2.1899999999999999E-2</v>
      </c>
      <c r="D43" s="49">
        <f t="shared" si="0"/>
        <v>45.48</v>
      </c>
      <c r="F43" s="72" t="s">
        <v>116</v>
      </c>
    </row>
    <row r="44" spans="1:13" ht="20.100000000000001" customHeight="1">
      <c r="A44" s="52" t="s">
        <v>5</v>
      </c>
      <c r="B44" s="47" t="s">
        <v>42</v>
      </c>
      <c r="C44" s="48">
        <v>1.4999999999999999E-2</v>
      </c>
      <c r="D44" s="49">
        <f t="shared" si="0"/>
        <v>31.15</v>
      </c>
      <c r="F44" s="72" t="s">
        <v>117</v>
      </c>
    </row>
    <row r="45" spans="1:13" ht="20.100000000000001" customHeight="1">
      <c r="A45" s="52" t="s">
        <v>12</v>
      </c>
      <c r="B45" s="47" t="s">
        <v>43</v>
      </c>
      <c r="C45" s="48">
        <v>0.01</v>
      </c>
      <c r="D45" s="49">
        <f t="shared" si="0"/>
        <v>20.77</v>
      </c>
      <c r="F45" s="72" t="s">
        <v>118</v>
      </c>
    </row>
    <row r="46" spans="1:13" ht="20.100000000000001" customHeight="1">
      <c r="A46" s="52" t="s">
        <v>13</v>
      </c>
      <c r="B46" s="47" t="s">
        <v>44</v>
      </c>
      <c r="C46" s="48">
        <v>6.0000000000000001E-3</v>
      </c>
      <c r="D46" s="49">
        <f t="shared" si="0"/>
        <v>12.46</v>
      </c>
      <c r="F46" s="72" t="s">
        <v>119</v>
      </c>
    </row>
    <row r="47" spans="1:13" ht="20.100000000000001" customHeight="1">
      <c r="A47" s="52" t="s">
        <v>14</v>
      </c>
      <c r="B47" s="47" t="s">
        <v>45</v>
      </c>
      <c r="C47" s="48">
        <v>2E-3</v>
      </c>
      <c r="D47" s="49">
        <f t="shared" si="0"/>
        <v>4.1500000000000004</v>
      </c>
      <c r="F47" s="72" t="s">
        <v>120</v>
      </c>
    </row>
    <row r="48" spans="1:13" ht="20.100000000000001" customHeight="1">
      <c r="A48" s="52" t="s">
        <v>15</v>
      </c>
      <c r="B48" s="47" t="s">
        <v>46</v>
      </c>
      <c r="C48" s="48">
        <v>0.08</v>
      </c>
      <c r="D48" s="49">
        <f t="shared" si="0"/>
        <v>166.14</v>
      </c>
      <c r="F48" s="72" t="s">
        <v>121</v>
      </c>
    </row>
    <row r="49" spans="1:13" ht="20.100000000000001" customHeight="1">
      <c r="A49" s="159" t="s">
        <v>22</v>
      </c>
      <c r="B49" s="159"/>
      <c r="C49" s="51">
        <f>ROUND(SUM(C41:C48),4)</f>
        <v>0.3599</v>
      </c>
      <c r="D49" s="42">
        <f>ROUND(SUM(D41:D48),2)</f>
        <v>747.41</v>
      </c>
      <c r="F49" s="25" t="s">
        <v>122</v>
      </c>
      <c r="M49" s="5"/>
    </row>
    <row r="50" spans="1:13" ht="20.100000000000001" customHeight="1">
      <c r="A50" s="97"/>
      <c r="B50" s="97"/>
      <c r="C50" s="97"/>
      <c r="D50" s="43"/>
    </row>
    <row r="51" spans="1:13" ht="20.100000000000001" customHeight="1">
      <c r="A51" s="161" t="s">
        <v>47</v>
      </c>
      <c r="B51" s="161"/>
      <c r="C51" s="161"/>
      <c r="D51" s="161"/>
    </row>
    <row r="52" spans="1:13" ht="20.100000000000001" customHeight="1">
      <c r="A52" s="94" t="s">
        <v>48</v>
      </c>
      <c r="B52" s="156" t="s">
        <v>17</v>
      </c>
      <c r="C52" s="156"/>
      <c r="D52" s="94" t="s">
        <v>9</v>
      </c>
      <c r="F52" s="14" t="s">
        <v>104</v>
      </c>
      <c r="G52" s="8"/>
      <c r="K52" s="5"/>
    </row>
    <row r="53" spans="1:13" ht="20.100000000000001" customHeight="1">
      <c r="A53" s="94" t="s">
        <v>1</v>
      </c>
      <c r="B53" s="155" t="s">
        <v>101</v>
      </c>
      <c r="C53" s="155"/>
      <c r="D53" s="41">
        <f>IF(((F55*2*F53)-(D21*0.06))&lt;0,0,((F55*2*F53)-(D21*0.06)))</f>
        <v>0</v>
      </c>
      <c r="F53" s="16">
        <v>15</v>
      </c>
      <c r="G53" s="8"/>
      <c r="H53" s="26" t="s">
        <v>163</v>
      </c>
      <c r="K53" s="5"/>
    </row>
    <row r="54" spans="1:13" ht="20.100000000000001" customHeight="1">
      <c r="A54" s="94" t="s">
        <v>3</v>
      </c>
      <c r="B54" s="157" t="s">
        <v>112</v>
      </c>
      <c r="C54" s="157"/>
      <c r="D54" s="41">
        <f>F57*1*(1-F59)</f>
        <v>644</v>
      </c>
      <c r="F54" s="14" t="s">
        <v>145</v>
      </c>
      <c r="G54" s="8"/>
      <c r="H54" s="26" t="s">
        <v>163</v>
      </c>
      <c r="K54" s="5"/>
    </row>
    <row r="55" spans="1:13" ht="20.100000000000001" customHeight="1">
      <c r="A55" s="94" t="s">
        <v>4</v>
      </c>
      <c r="B55" s="155" t="s">
        <v>175</v>
      </c>
      <c r="C55" s="155"/>
      <c r="D55" s="41">
        <f>VLOOKUP(A14,'Entrada de dados'!A2:H8,5,FALSE)</f>
        <v>28</v>
      </c>
      <c r="F55" s="15">
        <v>0</v>
      </c>
      <c r="G55" s="8"/>
      <c r="H55" s="26" t="s">
        <v>320</v>
      </c>
      <c r="K55" s="5"/>
    </row>
    <row r="56" spans="1:13" ht="20.100000000000001" customHeight="1">
      <c r="A56" s="94" t="s">
        <v>5</v>
      </c>
      <c r="B56" s="155" t="s">
        <v>176</v>
      </c>
      <c r="C56" s="155"/>
      <c r="D56" s="41">
        <f>VLOOKUP(A14,'Entrada de dados'!A2:H8,6,FALSE)</f>
        <v>28</v>
      </c>
      <c r="F56" s="14" t="s">
        <v>105</v>
      </c>
      <c r="G56" s="8"/>
      <c r="H56" s="26" t="s">
        <v>163</v>
      </c>
      <c r="K56" s="5"/>
    </row>
    <row r="57" spans="1:13" ht="20.100000000000001" customHeight="1">
      <c r="A57" s="98" t="s">
        <v>49</v>
      </c>
      <c r="B57" s="155" t="s">
        <v>177</v>
      </c>
      <c r="C57" s="155"/>
      <c r="D57" s="41">
        <f>VLOOKUP(A14,'Entrada de dados'!A2:H8,7,FALSE)</f>
        <v>87.5</v>
      </c>
      <c r="F57" s="15">
        <f>VLOOKUP(A14,'Entrada de dados'!A2:H8,4,FALSE)</f>
        <v>805</v>
      </c>
      <c r="G57" s="8"/>
      <c r="H57" s="26" t="s">
        <v>163</v>
      </c>
      <c r="K57" s="5"/>
    </row>
    <row r="58" spans="1:13" ht="20.100000000000001" customHeight="1">
      <c r="A58" s="98" t="s">
        <v>13</v>
      </c>
      <c r="B58" s="157" t="s">
        <v>178</v>
      </c>
      <c r="C58" s="157"/>
      <c r="D58" s="41">
        <f>VLOOKUP(A14,'Entrada de dados'!A2:H8,8,FALSE)*0.8</f>
        <v>53.66</v>
      </c>
      <c r="F58" s="14" t="s">
        <v>106</v>
      </c>
      <c r="G58" s="8"/>
      <c r="H58" s="26" t="s">
        <v>163</v>
      </c>
      <c r="K58" s="5"/>
    </row>
    <row r="59" spans="1:13" ht="20.100000000000001" customHeight="1">
      <c r="A59" s="98" t="s">
        <v>14</v>
      </c>
      <c r="B59" s="157" t="s">
        <v>179</v>
      </c>
      <c r="C59" s="157"/>
      <c r="D59" s="41">
        <v>0</v>
      </c>
      <c r="F59" s="10">
        <v>0.2</v>
      </c>
      <c r="G59" s="8"/>
      <c r="H59" s="26" t="s">
        <v>163</v>
      </c>
      <c r="K59" s="5"/>
    </row>
    <row r="60" spans="1:13" ht="20.100000000000001" customHeight="1">
      <c r="A60" s="158" t="s">
        <v>18</v>
      </c>
      <c r="B60" s="158"/>
      <c r="C60" s="158"/>
      <c r="D60" s="54">
        <f>ROUND(SUM(D53:D59),2)</f>
        <v>841.16</v>
      </c>
      <c r="F60" s="9"/>
      <c r="G60" s="8"/>
      <c r="K60" s="5"/>
    </row>
    <row r="61" spans="1:13" ht="20.100000000000001" customHeight="1">
      <c r="A61" s="31"/>
      <c r="B61" s="38"/>
      <c r="C61" s="31"/>
      <c r="D61" s="43"/>
      <c r="F61" s="9"/>
      <c r="G61" s="8"/>
      <c r="K61" s="5"/>
    </row>
    <row r="62" spans="1:13" ht="20.100000000000001" customHeight="1">
      <c r="A62" s="158" t="s">
        <v>50</v>
      </c>
      <c r="B62" s="158"/>
      <c r="C62" s="158"/>
      <c r="D62" s="158"/>
      <c r="F62" s="9"/>
      <c r="G62" s="8"/>
      <c r="K62" s="5"/>
    </row>
    <row r="63" spans="1:13" ht="20.100000000000001" customHeight="1">
      <c r="A63" s="95">
        <v>2</v>
      </c>
      <c r="B63" s="159" t="s">
        <v>51</v>
      </c>
      <c r="C63" s="159"/>
      <c r="D63" s="95" t="s">
        <v>9</v>
      </c>
      <c r="F63" s="9"/>
      <c r="G63" s="8"/>
      <c r="K63" s="5"/>
    </row>
    <row r="64" spans="1:13" ht="20.100000000000001" customHeight="1">
      <c r="A64" s="95" t="s">
        <v>32</v>
      </c>
      <c r="B64" s="155" t="s">
        <v>33</v>
      </c>
      <c r="C64" s="155"/>
      <c r="D64" s="49">
        <f>ROUND(D37,2)</f>
        <v>313.79000000000002</v>
      </c>
      <c r="F64" s="9"/>
      <c r="G64" s="8"/>
      <c r="K64" s="5"/>
    </row>
    <row r="65" spans="1:13" ht="20.100000000000001" customHeight="1">
      <c r="A65" s="95" t="s">
        <v>36</v>
      </c>
      <c r="B65" s="155" t="s">
        <v>37</v>
      </c>
      <c r="C65" s="155"/>
      <c r="D65" s="49">
        <f>ROUND(D49,2)</f>
        <v>747.41</v>
      </c>
      <c r="F65" s="9"/>
      <c r="G65" s="8"/>
      <c r="K65" s="5"/>
    </row>
    <row r="66" spans="1:13" ht="20.100000000000001" customHeight="1">
      <c r="A66" s="95" t="s">
        <v>48</v>
      </c>
      <c r="B66" s="155" t="s">
        <v>17</v>
      </c>
      <c r="C66" s="155"/>
      <c r="D66" s="49">
        <f>ROUND(D60,2)</f>
        <v>841.16</v>
      </c>
      <c r="F66" s="9"/>
      <c r="G66" s="8"/>
      <c r="K66" s="5"/>
    </row>
    <row r="67" spans="1:13" ht="20.100000000000001" customHeight="1">
      <c r="A67" s="159" t="s">
        <v>22</v>
      </c>
      <c r="B67" s="159"/>
      <c r="C67" s="159"/>
      <c r="D67" s="42">
        <f>ROUND(SUM(D64:D66),2)</f>
        <v>1902.36</v>
      </c>
      <c r="F67" s="9"/>
      <c r="G67" s="8"/>
      <c r="K67" s="5"/>
    </row>
    <row r="68" spans="1:13" ht="20.100000000000001" customHeight="1">
      <c r="A68" s="31"/>
      <c r="B68" s="38"/>
      <c r="C68" s="31"/>
      <c r="D68" s="43"/>
      <c r="F68" s="9"/>
      <c r="G68" s="8"/>
      <c r="K68" s="5"/>
    </row>
    <row r="69" spans="1:13" ht="20.100000000000001" customHeight="1">
      <c r="A69" s="161" t="s">
        <v>52</v>
      </c>
      <c r="B69" s="161"/>
      <c r="C69" s="161"/>
      <c r="D69" s="161"/>
      <c r="F69" s="9"/>
      <c r="G69" s="8"/>
      <c r="K69" s="5"/>
    </row>
    <row r="70" spans="1:13" ht="20.100000000000001" customHeight="1">
      <c r="A70" s="95">
        <v>3</v>
      </c>
      <c r="B70" s="50" t="s">
        <v>23</v>
      </c>
      <c r="C70" s="95" t="s">
        <v>38</v>
      </c>
      <c r="D70" s="95" t="s">
        <v>9</v>
      </c>
      <c r="F70" s="9"/>
      <c r="G70" s="8"/>
      <c r="K70" s="5"/>
    </row>
    <row r="71" spans="1:13" ht="20.100000000000001" customHeight="1">
      <c r="A71" s="95" t="s">
        <v>1</v>
      </c>
      <c r="B71" s="47" t="s">
        <v>53</v>
      </c>
      <c r="C71" s="55">
        <f>1/12*0.05</f>
        <v>4.1999999999999997E-3</v>
      </c>
      <c r="D71" s="49">
        <f>ROUND(($D$27+$D$94)*C71,2)</f>
        <v>9.61</v>
      </c>
      <c r="F71" s="188" t="s">
        <v>123</v>
      </c>
      <c r="G71" s="188"/>
      <c r="H71" s="188"/>
      <c r="I71" s="188"/>
      <c r="J71" s="188"/>
      <c r="K71" s="188"/>
    </row>
    <row r="72" spans="1:13" ht="20.100000000000001" customHeight="1">
      <c r="A72" s="95" t="s">
        <v>3</v>
      </c>
      <c r="B72" s="47" t="s">
        <v>54</v>
      </c>
      <c r="C72" s="56">
        <f>C71*C48</f>
        <v>3.3599999999999998E-4</v>
      </c>
      <c r="D72" s="49">
        <f>ROUND(($D$27+$D$94)*C72,2)</f>
        <v>0.77</v>
      </c>
      <c r="F72" s="188" t="s">
        <v>124</v>
      </c>
      <c r="G72" s="188"/>
      <c r="H72" s="188"/>
      <c r="K72" s="73"/>
    </row>
    <row r="73" spans="1:13" ht="19.5" customHeight="1">
      <c r="A73" s="95" t="s">
        <v>4</v>
      </c>
      <c r="B73" s="47" t="s">
        <v>108</v>
      </c>
      <c r="C73" s="55">
        <v>6.4999999999999997E-3</v>
      </c>
      <c r="D73" s="49">
        <f>ROUND($D$27*C73,2)</f>
        <v>13.5</v>
      </c>
      <c r="F73" s="188" t="s">
        <v>125</v>
      </c>
      <c r="G73" s="188"/>
      <c r="H73" s="188"/>
      <c r="I73" s="188"/>
      <c r="J73" s="188"/>
      <c r="K73" s="188"/>
    </row>
    <row r="74" spans="1:13" ht="20.100000000000001" customHeight="1">
      <c r="A74" s="95" t="s">
        <v>5</v>
      </c>
      <c r="B74" s="47" t="s">
        <v>97</v>
      </c>
      <c r="C74" s="55">
        <f>7/30/12</f>
        <v>1.9400000000000001E-2</v>
      </c>
      <c r="D74" s="49">
        <f>ROUND(($D$27+$D$94)*C74,2)</f>
        <v>44.41</v>
      </c>
      <c r="F74" s="188" t="s">
        <v>126</v>
      </c>
      <c r="G74" s="188"/>
      <c r="H74" s="188"/>
      <c r="I74" s="188"/>
      <c r="J74" s="188"/>
      <c r="K74" s="188"/>
    </row>
    <row r="75" spans="1:13" ht="32.25" customHeight="1">
      <c r="A75" s="95" t="s">
        <v>12</v>
      </c>
      <c r="B75" s="47" t="s">
        <v>55</v>
      </c>
      <c r="C75" s="55">
        <f>C74*C49</f>
        <v>7.0000000000000001E-3</v>
      </c>
      <c r="D75" s="49">
        <f>ROUND(($D$27+$D$94)*C75,2)</f>
        <v>16.02</v>
      </c>
      <c r="F75" s="188" t="s">
        <v>127</v>
      </c>
      <c r="G75" s="188"/>
      <c r="H75" s="188"/>
      <c r="K75" s="73"/>
    </row>
    <row r="76" spans="1:13" ht="21.75" customHeight="1">
      <c r="A76" s="95" t="s">
        <v>4</v>
      </c>
      <c r="B76" s="47" t="s">
        <v>109</v>
      </c>
      <c r="C76" s="55">
        <v>3.3500000000000002E-2</v>
      </c>
      <c r="D76" s="49">
        <f>ROUND($D$27*C76,2)</f>
        <v>69.569999999999993</v>
      </c>
      <c r="F76" s="188" t="s">
        <v>125</v>
      </c>
      <c r="G76" s="188"/>
      <c r="H76" s="188"/>
      <c r="K76" s="73"/>
    </row>
    <row r="77" spans="1:13" ht="20.100000000000001" customHeight="1">
      <c r="A77" s="159" t="s">
        <v>22</v>
      </c>
      <c r="B77" s="159"/>
      <c r="C77" s="57">
        <f>ROUND(SUM(C71:C76),4)</f>
        <v>7.0900000000000005E-2</v>
      </c>
      <c r="D77" s="54">
        <f>ROUND(SUM(D71:D76),2)</f>
        <v>153.88</v>
      </c>
      <c r="F77" s="9"/>
      <c r="G77" s="8"/>
      <c r="K77" s="5"/>
      <c r="M77" s="5"/>
    </row>
    <row r="78" spans="1:13" ht="20.100000000000001" customHeight="1">
      <c r="A78" s="99"/>
      <c r="B78" s="99"/>
      <c r="C78" s="99"/>
      <c r="D78" s="43"/>
      <c r="F78" s="9"/>
      <c r="G78" s="8"/>
      <c r="K78" s="5"/>
    </row>
    <row r="79" spans="1:13" ht="20.100000000000001" customHeight="1">
      <c r="A79" s="168" t="s">
        <v>56</v>
      </c>
      <c r="B79" s="168"/>
      <c r="C79" s="168"/>
      <c r="D79" s="168"/>
      <c r="F79" s="9"/>
      <c r="G79" s="8"/>
      <c r="K79" s="5"/>
      <c r="L79" s="3"/>
    </row>
    <row r="80" spans="1:13" ht="20.100000000000001" customHeight="1">
      <c r="A80" s="99"/>
      <c r="B80" s="99"/>
      <c r="C80" s="99"/>
      <c r="D80" s="99"/>
      <c r="K80" s="6"/>
    </row>
    <row r="81" spans="1:13" ht="20.100000000000001" customHeight="1">
      <c r="A81" s="161" t="s">
        <v>57</v>
      </c>
      <c r="B81" s="161"/>
      <c r="C81" s="161"/>
      <c r="D81" s="161"/>
      <c r="K81" s="6"/>
    </row>
    <row r="82" spans="1:13" ht="20.100000000000001" customHeight="1">
      <c r="A82" s="95" t="s">
        <v>20</v>
      </c>
      <c r="B82" s="50" t="s">
        <v>58</v>
      </c>
      <c r="C82" s="95" t="s">
        <v>38</v>
      </c>
      <c r="D82" s="95" t="s">
        <v>9</v>
      </c>
      <c r="F82" s="2"/>
      <c r="G82" s="2"/>
      <c r="K82" s="6"/>
    </row>
    <row r="83" spans="1:13" ht="20.100000000000001" customHeight="1">
      <c r="A83" s="95" t="s">
        <v>1</v>
      </c>
      <c r="B83" s="47" t="s">
        <v>59</v>
      </c>
      <c r="C83" s="55">
        <f>1/12</f>
        <v>8.3299999999999999E-2</v>
      </c>
      <c r="D83" s="49">
        <f t="shared" ref="D83:D89" si="1">ROUND(($D$27+$D$67+$D$77)*C83,2)</f>
        <v>344.27</v>
      </c>
      <c r="F83" s="186" t="s">
        <v>128</v>
      </c>
      <c r="G83" s="186"/>
      <c r="H83" s="186"/>
      <c r="I83" s="77"/>
      <c r="J83" s="77"/>
      <c r="K83" s="78"/>
    </row>
    <row r="84" spans="1:13" ht="20.100000000000001" customHeight="1">
      <c r="A84" s="95" t="s">
        <v>3</v>
      </c>
      <c r="B84" s="47" t="s">
        <v>58</v>
      </c>
      <c r="C84" s="55">
        <f>0.05/365</f>
        <v>1E-4</v>
      </c>
      <c r="D84" s="49">
        <f t="shared" si="1"/>
        <v>0.41</v>
      </c>
      <c r="E84" s="4"/>
      <c r="F84" s="186" t="s">
        <v>129</v>
      </c>
      <c r="G84" s="186"/>
      <c r="H84" s="186"/>
      <c r="I84" s="77"/>
      <c r="J84" s="77"/>
      <c r="K84" s="77"/>
    </row>
    <row r="85" spans="1:13" ht="27" customHeight="1">
      <c r="A85" s="95" t="s">
        <v>4</v>
      </c>
      <c r="B85" s="47" t="s">
        <v>110</v>
      </c>
      <c r="C85" s="55">
        <f>5/30/12*0.005</f>
        <v>1E-4</v>
      </c>
      <c r="D85" s="49">
        <f t="shared" si="1"/>
        <v>0.41</v>
      </c>
      <c r="F85" s="186" t="s">
        <v>139</v>
      </c>
      <c r="G85" s="186"/>
      <c r="H85" s="186"/>
      <c r="I85" s="186"/>
      <c r="J85" s="186"/>
      <c r="K85" s="186"/>
    </row>
    <row r="86" spans="1:13" ht="20.100000000000001" customHeight="1">
      <c r="A86" s="95" t="s">
        <v>5</v>
      </c>
      <c r="B86" s="47" t="s">
        <v>28</v>
      </c>
      <c r="C86" s="55">
        <f>15/30/12*0.003</f>
        <v>1E-4</v>
      </c>
      <c r="D86" s="49">
        <f t="shared" si="1"/>
        <v>0.41</v>
      </c>
      <c r="F86" s="186" t="s">
        <v>130</v>
      </c>
      <c r="G86" s="186"/>
      <c r="H86" s="186"/>
      <c r="I86" s="186"/>
      <c r="J86" s="186"/>
      <c r="K86" s="186"/>
    </row>
    <row r="87" spans="1:13" ht="22.5" customHeight="1">
      <c r="A87" s="95" t="s">
        <v>12</v>
      </c>
      <c r="B87" s="47" t="s">
        <v>111</v>
      </c>
      <c r="C87" s="55">
        <f>0.005*(4/12)/12</f>
        <v>1E-4</v>
      </c>
      <c r="D87" s="49">
        <f t="shared" si="1"/>
        <v>0.41</v>
      </c>
      <c r="F87" s="186" t="s">
        <v>140</v>
      </c>
      <c r="G87" s="186"/>
      <c r="H87" s="186"/>
      <c r="I87" s="186"/>
      <c r="J87" s="186"/>
      <c r="K87" s="186"/>
    </row>
    <row r="88" spans="1:13" ht="20.100000000000001" customHeight="1">
      <c r="A88" s="95" t="s">
        <v>13</v>
      </c>
      <c r="B88" s="47" t="s">
        <v>85</v>
      </c>
      <c r="C88" s="55">
        <f>0.05/365</f>
        <v>1E-4</v>
      </c>
      <c r="D88" s="49">
        <f t="shared" si="1"/>
        <v>0.41</v>
      </c>
      <c r="E88" s="5"/>
      <c r="F88" s="186" t="s">
        <v>131</v>
      </c>
      <c r="G88" s="186"/>
      <c r="H88" s="186"/>
      <c r="I88" s="77"/>
      <c r="J88" s="77"/>
      <c r="K88" s="77"/>
    </row>
    <row r="89" spans="1:13" ht="20.100000000000001" customHeight="1">
      <c r="A89" s="95" t="s">
        <v>14</v>
      </c>
      <c r="B89" s="47" t="s">
        <v>84</v>
      </c>
      <c r="C89" s="55"/>
      <c r="D89" s="49">
        <f t="shared" si="1"/>
        <v>0</v>
      </c>
      <c r="E89" s="5"/>
      <c r="F89" s="189" t="s">
        <v>162</v>
      </c>
      <c r="G89" s="189"/>
      <c r="H89" s="189"/>
      <c r="I89" s="189"/>
      <c r="J89" s="189"/>
      <c r="K89" s="189"/>
    </row>
    <row r="90" spans="1:13" ht="20.100000000000001" customHeight="1">
      <c r="A90" s="159" t="s">
        <v>22</v>
      </c>
      <c r="B90" s="159"/>
      <c r="C90" s="51">
        <f>ROUND(SUM(C83:C89),4)</f>
        <v>8.3799999999999999E-2</v>
      </c>
      <c r="D90" s="42">
        <f>ROUND(SUM(D83:D89),2)</f>
        <v>346.32</v>
      </c>
      <c r="F90" s="74"/>
      <c r="M90" s="5"/>
    </row>
    <row r="91" spans="1:13" ht="20.100000000000001" customHeight="1">
      <c r="A91" s="99"/>
      <c r="B91" s="99"/>
      <c r="C91" s="32"/>
      <c r="D91" s="43"/>
      <c r="F91" s="13"/>
      <c r="M91" s="13"/>
    </row>
    <row r="92" spans="1:13" ht="20.100000000000001" customHeight="1">
      <c r="A92" s="161" t="s">
        <v>60</v>
      </c>
      <c r="B92" s="161"/>
      <c r="C92" s="161"/>
      <c r="D92" s="161"/>
    </row>
    <row r="93" spans="1:13" ht="20.100000000000001" customHeight="1">
      <c r="A93" s="95" t="s">
        <v>21</v>
      </c>
      <c r="B93" s="50" t="s">
        <v>61</v>
      </c>
      <c r="C93" s="95" t="s">
        <v>38</v>
      </c>
      <c r="D93" s="95" t="s">
        <v>9</v>
      </c>
      <c r="E93" s="3"/>
    </row>
    <row r="94" spans="1:13" ht="20.100000000000001" customHeight="1">
      <c r="A94" s="95" t="s">
        <v>1</v>
      </c>
      <c r="B94" s="47" t="s">
        <v>62</v>
      </c>
      <c r="C94" s="55">
        <f>D94/D27</f>
        <v>0.1023</v>
      </c>
      <c r="D94" s="41">
        <f>D27/220*1.5*1*15</f>
        <v>212.39</v>
      </c>
      <c r="E94" s="7"/>
    </row>
    <row r="95" spans="1:13" ht="20.100000000000001" customHeight="1">
      <c r="A95" s="164" t="s">
        <v>22</v>
      </c>
      <c r="B95" s="165"/>
      <c r="C95" s="166"/>
      <c r="D95" s="41">
        <f>ROUND(D94,2)</f>
        <v>212.39</v>
      </c>
    </row>
    <row r="96" spans="1:13" ht="20.100000000000001" customHeight="1">
      <c r="A96" s="31"/>
      <c r="B96" s="38"/>
      <c r="C96" s="31"/>
      <c r="D96" s="43"/>
    </row>
    <row r="97" spans="1:5" ht="20.100000000000001" customHeight="1">
      <c r="A97" s="161" t="s">
        <v>63</v>
      </c>
      <c r="B97" s="161"/>
      <c r="C97" s="161"/>
      <c r="D97" s="161"/>
    </row>
    <row r="98" spans="1:5" ht="20.100000000000001" customHeight="1">
      <c r="A98" s="95">
        <v>4</v>
      </c>
      <c r="B98" s="159" t="s">
        <v>64</v>
      </c>
      <c r="C98" s="159"/>
      <c r="D98" s="95" t="s">
        <v>9</v>
      </c>
    </row>
    <row r="99" spans="1:5" ht="20.100000000000001" customHeight="1">
      <c r="A99" s="52" t="s">
        <v>20</v>
      </c>
      <c r="B99" s="155" t="s">
        <v>58</v>
      </c>
      <c r="C99" s="155"/>
      <c r="D99" s="49">
        <f>ROUND(D90,2)</f>
        <v>346.32</v>
      </c>
    </row>
    <row r="100" spans="1:5" ht="20.100000000000001" customHeight="1">
      <c r="A100" s="52" t="s">
        <v>21</v>
      </c>
      <c r="B100" s="155" t="s">
        <v>61</v>
      </c>
      <c r="C100" s="155"/>
      <c r="D100" s="49">
        <f>ROUND(D95,2)</f>
        <v>212.39</v>
      </c>
    </row>
    <row r="101" spans="1:5" ht="20.100000000000001" customHeight="1">
      <c r="A101" s="159" t="s">
        <v>22</v>
      </c>
      <c r="B101" s="159"/>
      <c r="C101" s="159"/>
      <c r="D101" s="42">
        <f>ROUND(SUM(D99:D100),2)</f>
        <v>558.71</v>
      </c>
    </row>
    <row r="102" spans="1:5" ht="20.100000000000001" customHeight="1">
      <c r="A102" s="31"/>
      <c r="B102" s="38"/>
      <c r="C102" s="31"/>
      <c r="D102" s="43"/>
      <c r="E102" s="5"/>
    </row>
    <row r="103" spans="1:5" ht="20.100000000000001" customHeight="1">
      <c r="A103" s="158" t="s">
        <v>65</v>
      </c>
      <c r="B103" s="158"/>
      <c r="C103" s="158"/>
      <c r="D103" s="158"/>
    </row>
    <row r="104" spans="1:5" ht="20.100000000000001" customHeight="1">
      <c r="A104" s="96">
        <v>5</v>
      </c>
      <c r="B104" s="158" t="s">
        <v>103</v>
      </c>
      <c r="C104" s="158"/>
      <c r="D104" s="96" t="s">
        <v>9</v>
      </c>
    </row>
    <row r="105" spans="1:5" ht="20.100000000000001" customHeight="1">
      <c r="A105" s="96" t="s">
        <v>1</v>
      </c>
      <c r="B105" s="163" t="s">
        <v>89</v>
      </c>
      <c r="C105" s="163"/>
      <c r="D105" s="41">
        <f>VLOOKUP(A14,'Entrada de dados'!A2:N10,9,FALSE)</f>
        <v>19.16</v>
      </c>
    </row>
    <row r="106" spans="1:5" ht="20.100000000000001" customHeight="1">
      <c r="A106" s="96" t="s">
        <v>3</v>
      </c>
      <c r="B106" s="163" t="s">
        <v>321</v>
      </c>
      <c r="C106" s="163"/>
      <c r="D106" s="41">
        <f>VLOOKUP(A14,'Entrada de dados'!A2:N10,10,FALSE)</f>
        <v>198.91</v>
      </c>
    </row>
    <row r="107" spans="1:5" ht="20.100000000000001" customHeight="1">
      <c r="A107" s="96" t="s">
        <v>3</v>
      </c>
      <c r="B107" s="163" t="s">
        <v>83</v>
      </c>
      <c r="C107" s="163"/>
      <c r="D107" s="41">
        <f>VLOOKUP(A14,'Entrada de dados'!A2:N10,11,FALSE)</f>
        <v>7.08</v>
      </c>
    </row>
    <row r="108" spans="1:5" ht="20.100000000000001" customHeight="1">
      <c r="A108" s="96" t="s">
        <v>3</v>
      </c>
      <c r="B108" s="163" t="s">
        <v>322</v>
      </c>
      <c r="C108" s="163"/>
      <c r="D108" s="41">
        <f>VLOOKUP(A14,'Entrada de dados'!A2:N10,12,FALSE)</f>
        <v>205.86</v>
      </c>
    </row>
    <row r="109" spans="1:5" ht="20.100000000000001" customHeight="1">
      <c r="A109" s="96" t="s">
        <v>3</v>
      </c>
      <c r="B109" s="163" t="s">
        <v>141</v>
      </c>
      <c r="C109" s="163"/>
      <c r="D109" s="41">
        <f>VLOOKUP(A14,'Entrada de dados'!A2:N10,13,FALSE)</f>
        <v>18.78</v>
      </c>
    </row>
    <row r="110" spans="1:5" ht="20.100000000000001" customHeight="1">
      <c r="A110" s="58" t="s">
        <v>4</v>
      </c>
      <c r="B110" s="163" t="s">
        <v>323</v>
      </c>
      <c r="C110" s="163"/>
      <c r="D110" s="41">
        <f>VLOOKUP(A14,'Entrada de dados'!A2:N10,14,FALSE)</f>
        <v>25.67</v>
      </c>
    </row>
    <row r="111" spans="1:5" ht="20.100000000000001" customHeight="1">
      <c r="A111" s="58" t="s">
        <v>5</v>
      </c>
      <c r="B111" s="163" t="s">
        <v>324</v>
      </c>
      <c r="C111" s="163"/>
      <c r="D111" s="41">
        <v>0</v>
      </c>
    </row>
    <row r="112" spans="1:5" ht="20.100000000000001" customHeight="1">
      <c r="A112" s="158" t="s">
        <v>19</v>
      </c>
      <c r="B112" s="158"/>
      <c r="C112" s="158"/>
      <c r="D112" s="54">
        <f>ROUND(SUM(D105:D111),2)</f>
        <v>475.46</v>
      </c>
    </row>
    <row r="113" spans="1:8" ht="20.100000000000001" customHeight="1">
      <c r="A113" s="167"/>
      <c r="B113" s="167"/>
      <c r="C113" s="167"/>
      <c r="D113" s="32"/>
    </row>
    <row r="114" spans="1:8" ht="20.100000000000001" customHeight="1">
      <c r="A114" s="158" t="s">
        <v>79</v>
      </c>
      <c r="B114" s="158"/>
      <c r="C114" s="158"/>
      <c r="D114" s="158"/>
    </row>
    <row r="115" spans="1:8" ht="20.100000000000001" customHeight="1">
      <c r="A115" s="95">
        <v>6</v>
      </c>
      <c r="B115" s="50" t="s">
        <v>24</v>
      </c>
      <c r="C115" s="95" t="s">
        <v>38</v>
      </c>
      <c r="D115" s="95" t="s">
        <v>9</v>
      </c>
    </row>
    <row r="116" spans="1:8" ht="20.100000000000001" customHeight="1">
      <c r="A116" s="95" t="s">
        <v>1</v>
      </c>
      <c r="B116" s="47" t="s">
        <v>25</v>
      </c>
      <c r="C116" s="59">
        <v>1E-3</v>
      </c>
      <c r="D116" s="41">
        <f>D132*C116</f>
        <v>5.17</v>
      </c>
    </row>
    <row r="117" spans="1:8" ht="20.100000000000001" customHeight="1">
      <c r="A117" s="95" t="s">
        <v>3</v>
      </c>
      <c r="B117" s="47" t="s">
        <v>66</v>
      </c>
      <c r="C117" s="59">
        <f>'1'!C117</f>
        <v>7.7999999999999996E-3</v>
      </c>
      <c r="D117" s="41">
        <f>(D132+D116)*C117</f>
        <v>40.340000000000003</v>
      </c>
      <c r="E117" s="126"/>
    </row>
    <row r="118" spans="1:8" ht="20.100000000000001" customHeight="1">
      <c r="A118" s="95" t="s">
        <v>4</v>
      </c>
      <c r="B118" s="47" t="s">
        <v>67</v>
      </c>
      <c r="C118" s="60"/>
      <c r="D118" s="41"/>
    </row>
    <row r="119" spans="1:8" ht="20.100000000000001" customHeight="1">
      <c r="A119" s="95"/>
      <c r="B119" s="47" t="s">
        <v>88</v>
      </c>
      <c r="C119" s="61">
        <v>6.4999999999999997E-3</v>
      </c>
      <c r="D119" s="41">
        <f>ROUND((D132+D116+D117)/(1-$C$122)*C119,2)</f>
        <v>37.090000000000003</v>
      </c>
      <c r="F119" s="187"/>
    </row>
    <row r="120" spans="1:8" ht="20.100000000000001" customHeight="1">
      <c r="A120" s="95"/>
      <c r="B120" s="47" t="s">
        <v>87</v>
      </c>
      <c r="C120" s="61">
        <v>0.03</v>
      </c>
      <c r="D120" s="41">
        <f>ROUND((D132+D116+D117)/(1-$C$122)*C120,2)</f>
        <v>171.19</v>
      </c>
      <c r="F120" s="187"/>
    </row>
    <row r="121" spans="1:8" ht="20.100000000000001" customHeight="1">
      <c r="A121" s="52"/>
      <c r="B121" s="47" t="s">
        <v>86</v>
      </c>
      <c r="C121" s="61">
        <v>0.05</v>
      </c>
      <c r="D121" s="41">
        <f>ROUND((D132+D116+D117)/(1-$C$122)*C121,2)</f>
        <v>285.31</v>
      </c>
      <c r="F121" s="70" t="s">
        <v>165</v>
      </c>
      <c r="G121" s="70"/>
      <c r="H121" s="70"/>
    </row>
    <row r="122" spans="1:8" ht="20.100000000000001" customHeight="1">
      <c r="A122" s="95"/>
      <c r="B122" s="62" t="s">
        <v>80</v>
      </c>
      <c r="C122" s="60">
        <f>SUM(C119:C121)</f>
        <v>8.6499999999999994E-2</v>
      </c>
      <c r="D122" s="42">
        <f>ROUND(SUM(D119:D121),2)</f>
        <v>493.59</v>
      </c>
    </row>
    <row r="123" spans="1:8" ht="20.100000000000001" customHeight="1">
      <c r="A123" s="164" t="s">
        <v>81</v>
      </c>
      <c r="B123" s="165"/>
      <c r="C123" s="166"/>
      <c r="D123" s="42">
        <f>ROUND(D122+D116+D117,2)</f>
        <v>539.1</v>
      </c>
    </row>
    <row r="124" spans="1:8" ht="20.100000000000001" customHeight="1">
      <c r="A124" s="63"/>
      <c r="B124" s="32"/>
      <c r="C124" s="32"/>
      <c r="D124" s="32"/>
    </row>
    <row r="125" spans="1:8" ht="20.100000000000001" customHeight="1">
      <c r="A125" s="161" t="s">
        <v>68</v>
      </c>
      <c r="B125" s="161"/>
      <c r="C125" s="161"/>
      <c r="D125" s="161"/>
    </row>
    <row r="126" spans="1:8" ht="20.100000000000001" customHeight="1">
      <c r="A126" s="52"/>
      <c r="B126" s="159" t="s">
        <v>69</v>
      </c>
      <c r="C126" s="159"/>
      <c r="D126" s="95" t="s">
        <v>9</v>
      </c>
    </row>
    <row r="127" spans="1:8" ht="20.100000000000001" customHeight="1">
      <c r="A127" s="95" t="s">
        <v>1</v>
      </c>
      <c r="B127" s="155" t="s">
        <v>26</v>
      </c>
      <c r="C127" s="155"/>
      <c r="D127" s="64">
        <f>ROUND(D27,2)</f>
        <v>2076.71</v>
      </c>
      <c r="F127" s="27" t="s">
        <v>132</v>
      </c>
    </row>
    <row r="128" spans="1:8" ht="25.5">
      <c r="A128" s="95" t="s">
        <v>3</v>
      </c>
      <c r="B128" s="155" t="s">
        <v>70</v>
      </c>
      <c r="C128" s="155"/>
      <c r="D128" s="65">
        <f>ROUND(D67,2)</f>
        <v>1902.36</v>
      </c>
      <c r="F128" s="27" t="s">
        <v>133</v>
      </c>
      <c r="G128" s="2"/>
    </row>
    <row r="129" spans="1:7" ht="25.5">
      <c r="A129" s="95" t="s">
        <v>4</v>
      </c>
      <c r="B129" s="155" t="s">
        <v>52</v>
      </c>
      <c r="C129" s="155"/>
      <c r="D129" s="64">
        <f>ROUND(D77,2)</f>
        <v>153.88</v>
      </c>
      <c r="F129" s="27" t="s">
        <v>134</v>
      </c>
    </row>
    <row r="130" spans="1:7" ht="25.5">
      <c r="A130" s="95" t="s">
        <v>5</v>
      </c>
      <c r="B130" s="155" t="s">
        <v>56</v>
      </c>
      <c r="C130" s="155"/>
      <c r="D130" s="64">
        <f>ROUND(D101,2)</f>
        <v>558.71</v>
      </c>
      <c r="F130" s="27" t="s">
        <v>135</v>
      </c>
    </row>
    <row r="131" spans="1:7" ht="25.5">
      <c r="A131" s="95" t="s">
        <v>12</v>
      </c>
      <c r="B131" s="155" t="s">
        <v>71</v>
      </c>
      <c r="C131" s="155"/>
      <c r="D131" s="64">
        <f>ROUND(D112,2)</f>
        <v>475.46</v>
      </c>
      <c r="F131" s="27" t="s">
        <v>136</v>
      </c>
    </row>
    <row r="132" spans="1:7" ht="25.5">
      <c r="A132" s="159" t="s">
        <v>72</v>
      </c>
      <c r="B132" s="159"/>
      <c r="C132" s="159"/>
      <c r="D132" s="64">
        <f>ROUND(SUM(D127:D131),2)</f>
        <v>5167.12</v>
      </c>
      <c r="F132" s="27" t="s">
        <v>137</v>
      </c>
    </row>
    <row r="133" spans="1:7" ht="20.100000000000001" customHeight="1">
      <c r="A133" s="95" t="s">
        <v>13</v>
      </c>
      <c r="B133" s="155" t="s">
        <v>73</v>
      </c>
      <c r="C133" s="155"/>
      <c r="D133" s="64">
        <f>ROUND(D123,2)</f>
        <v>539.1</v>
      </c>
    </row>
    <row r="134" spans="1:7" ht="20.100000000000001" customHeight="1">
      <c r="A134" s="159" t="s">
        <v>82</v>
      </c>
      <c r="B134" s="159"/>
      <c r="C134" s="159"/>
      <c r="D134" s="64">
        <f>ROUND(D132+D133,2)</f>
        <v>5706.22</v>
      </c>
    </row>
    <row r="135" spans="1:7" ht="20.100000000000001" customHeight="1">
      <c r="A135" s="63"/>
      <c r="B135" s="32"/>
      <c r="C135" s="32"/>
      <c r="D135" s="32"/>
    </row>
    <row r="136" spans="1:7" ht="20.100000000000001" customHeight="1">
      <c r="A136" s="161" t="s">
        <v>74</v>
      </c>
      <c r="B136" s="161"/>
      <c r="C136" s="161"/>
      <c r="D136" s="161"/>
    </row>
    <row r="137" spans="1:7" ht="20.100000000000001" customHeight="1">
      <c r="A137" s="159" t="s">
        <v>75</v>
      </c>
      <c r="B137" s="159"/>
      <c r="C137" s="159"/>
      <c r="D137" s="159"/>
    </row>
    <row r="138" spans="1:7" ht="20.100000000000001" customHeight="1">
      <c r="A138" s="52"/>
      <c r="B138" s="159" t="s">
        <v>76</v>
      </c>
      <c r="C138" s="159"/>
      <c r="D138" s="95" t="s">
        <v>77</v>
      </c>
    </row>
    <row r="139" spans="1:7" ht="20.100000000000001" customHeight="1">
      <c r="A139" s="95" t="s">
        <v>1</v>
      </c>
      <c r="B139" s="155" t="s">
        <v>143</v>
      </c>
      <c r="C139" s="155"/>
      <c r="D139" s="66">
        <f>D134</f>
        <v>5706.22</v>
      </c>
      <c r="G139" s="9"/>
    </row>
    <row r="140" spans="1:7" ht="20.100000000000001" customHeight="1">
      <c r="A140" s="95" t="s">
        <v>3</v>
      </c>
      <c r="B140" s="155" t="s">
        <v>96</v>
      </c>
      <c r="C140" s="155"/>
      <c r="D140" s="67">
        <f>D14</f>
        <v>42</v>
      </c>
    </row>
    <row r="141" spans="1:7" ht="20.100000000000001" customHeight="1">
      <c r="A141" s="95" t="s">
        <v>4</v>
      </c>
      <c r="B141" s="155" t="s">
        <v>144</v>
      </c>
      <c r="C141" s="155"/>
      <c r="D141" s="68">
        <f>D139*D140</f>
        <v>239661.24</v>
      </c>
    </row>
    <row r="142" spans="1:7" ht="30.75" customHeight="1">
      <c r="A142" s="95" t="s">
        <v>5</v>
      </c>
      <c r="B142" s="155" t="s">
        <v>78</v>
      </c>
      <c r="C142" s="155"/>
      <c r="D142" s="69">
        <f>D141*30</f>
        <v>7189837.2000000002</v>
      </c>
    </row>
    <row r="144" spans="1:7">
      <c r="A144" s="162"/>
      <c r="B144" s="162"/>
      <c r="C144" s="162"/>
      <c r="D144" s="162"/>
    </row>
    <row r="148" spans="1:4">
      <c r="A148" s="162"/>
      <c r="B148" s="162"/>
      <c r="C148" s="162"/>
      <c r="D148" s="162"/>
    </row>
    <row r="149" spans="1:4">
      <c r="A149" s="162"/>
      <c r="B149" s="162"/>
      <c r="C149" s="162"/>
      <c r="D149" s="162"/>
    </row>
    <row r="150" spans="1:4">
      <c r="A150" s="162"/>
      <c r="B150" s="162"/>
      <c r="C150" s="162"/>
      <c r="D150" s="162"/>
    </row>
    <row r="151" spans="1:4">
      <c r="A151" s="162"/>
      <c r="B151" s="162"/>
      <c r="C151" s="162"/>
      <c r="D151" s="162"/>
    </row>
  </sheetData>
  <mergeCells count="108">
    <mergeCell ref="A144:D144"/>
    <mergeCell ref="A148:D148"/>
    <mergeCell ref="A149:D149"/>
    <mergeCell ref="A150:D150"/>
    <mergeCell ref="A151:D151"/>
    <mergeCell ref="A137:D137"/>
    <mergeCell ref="B138:C138"/>
    <mergeCell ref="B139:C139"/>
    <mergeCell ref="B140:C140"/>
    <mergeCell ref="B141:C141"/>
    <mergeCell ref="B142:C142"/>
    <mergeCell ref="B130:C130"/>
    <mergeCell ref="B131:C131"/>
    <mergeCell ref="A132:C132"/>
    <mergeCell ref="B133:C133"/>
    <mergeCell ref="A134:C134"/>
    <mergeCell ref="A136:D136"/>
    <mergeCell ref="A123:C123"/>
    <mergeCell ref="A125:D125"/>
    <mergeCell ref="B126:C126"/>
    <mergeCell ref="B127:C127"/>
    <mergeCell ref="B128:C128"/>
    <mergeCell ref="B129:C129"/>
    <mergeCell ref="B110:C110"/>
    <mergeCell ref="B111:C111"/>
    <mergeCell ref="A112:C112"/>
    <mergeCell ref="A113:C113"/>
    <mergeCell ref="A114:D114"/>
    <mergeCell ref="F119:F120"/>
    <mergeCell ref="B104:C104"/>
    <mergeCell ref="B105:C105"/>
    <mergeCell ref="B106:C106"/>
    <mergeCell ref="B107:C107"/>
    <mergeCell ref="B108:C108"/>
    <mergeCell ref="B109:C109"/>
    <mergeCell ref="A97:D97"/>
    <mergeCell ref="B98:C98"/>
    <mergeCell ref="B99:C99"/>
    <mergeCell ref="B100:C100"/>
    <mergeCell ref="A101:C101"/>
    <mergeCell ref="A103:D103"/>
    <mergeCell ref="F87:K87"/>
    <mergeCell ref="F88:H88"/>
    <mergeCell ref="F89:K89"/>
    <mergeCell ref="A90:B90"/>
    <mergeCell ref="A92:D92"/>
    <mergeCell ref="A95:C95"/>
    <mergeCell ref="A79:D79"/>
    <mergeCell ref="A81:D81"/>
    <mergeCell ref="F83:H83"/>
    <mergeCell ref="F84:H84"/>
    <mergeCell ref="F85:K85"/>
    <mergeCell ref="F86:K86"/>
    <mergeCell ref="F72:H72"/>
    <mergeCell ref="F73:K73"/>
    <mergeCell ref="F74:K74"/>
    <mergeCell ref="F75:H75"/>
    <mergeCell ref="F76:H76"/>
    <mergeCell ref="A77:B77"/>
    <mergeCell ref="B64:C64"/>
    <mergeCell ref="B65:C65"/>
    <mergeCell ref="B66:C66"/>
    <mergeCell ref="A67:C67"/>
    <mergeCell ref="A69:D69"/>
    <mergeCell ref="F71:K71"/>
    <mergeCell ref="B57:C57"/>
    <mergeCell ref="B58:C58"/>
    <mergeCell ref="B59:C59"/>
    <mergeCell ref="A60:C60"/>
    <mergeCell ref="A62:D62"/>
    <mergeCell ref="B63:C63"/>
    <mergeCell ref="A51:D51"/>
    <mergeCell ref="B52:C52"/>
    <mergeCell ref="B53:C53"/>
    <mergeCell ref="B54:C54"/>
    <mergeCell ref="B55:C55"/>
    <mergeCell ref="B56:C56"/>
    <mergeCell ref="A27:C27"/>
    <mergeCell ref="A29:D29"/>
    <mergeCell ref="A31:D31"/>
    <mergeCell ref="A37:B37"/>
    <mergeCell ref="A39:D39"/>
    <mergeCell ref="A49:B49"/>
    <mergeCell ref="B21:C21"/>
    <mergeCell ref="B22:C22"/>
    <mergeCell ref="B23:C23"/>
    <mergeCell ref="B24:C24"/>
    <mergeCell ref="B25:C25"/>
    <mergeCell ref="B26:C26"/>
    <mergeCell ref="D14:D15"/>
    <mergeCell ref="A16:C16"/>
    <mergeCell ref="A17:C17"/>
    <mergeCell ref="A18:C18"/>
    <mergeCell ref="A19:D19"/>
    <mergeCell ref="B20:C20"/>
    <mergeCell ref="B8:C8"/>
    <mergeCell ref="B9:C9"/>
    <mergeCell ref="B10:C10"/>
    <mergeCell ref="B11:C11"/>
    <mergeCell ref="A13:B13"/>
    <mergeCell ref="A14:B15"/>
    <mergeCell ref="C14:C15"/>
    <mergeCell ref="A1:D1"/>
    <mergeCell ref="A2:D2"/>
    <mergeCell ref="A3:D3"/>
    <mergeCell ref="A4:D4"/>
    <mergeCell ref="B5:D5"/>
    <mergeCell ref="A7:D7"/>
  </mergeCells>
  <printOptions horizontalCentered="1"/>
  <pageMargins left="0.39370078740157483" right="0.39370078740157483" top="1.9685039370078741" bottom="0.78740157480314965" header="0" footer="0"/>
  <pageSetup paperSize="9" scale="80" fitToHeight="0" orientation="portrait" r:id="rId1"/>
  <rowBreaks count="1" manualBreakCount="1">
    <brk id="67" max="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1"/>
  <sheetViews>
    <sheetView zoomScale="70" zoomScaleNormal="70" zoomScaleSheetLayoutView="110" workbookViewId="0">
      <selection activeCell="D143" sqref="D143"/>
    </sheetView>
  </sheetViews>
  <sheetFormatPr defaultColWidth="9.140625" defaultRowHeight="12.75"/>
  <cols>
    <col min="1" max="1" width="6" style="100" customWidth="1"/>
    <col min="2" max="2" width="62.7109375" style="1" customWidth="1"/>
    <col min="3" max="3" width="18.5703125" style="1" customWidth="1"/>
    <col min="4" max="4" width="30.7109375" style="1" customWidth="1"/>
    <col min="5" max="5" width="17.42578125" style="1" customWidth="1"/>
    <col min="6" max="6" width="102.42578125" style="1" customWidth="1"/>
    <col min="7" max="7" width="10.5703125" style="1" customWidth="1"/>
    <col min="8" max="8" width="43.85546875" style="1" customWidth="1"/>
    <col min="9" max="10" width="9.140625" style="1"/>
    <col min="11" max="11" width="11" style="1" customWidth="1"/>
    <col min="12" max="16384" width="9.140625" style="1"/>
  </cols>
  <sheetData>
    <row r="1" spans="1:4">
      <c r="A1" s="173" t="s">
        <v>93</v>
      </c>
      <c r="B1" s="173"/>
      <c r="C1" s="173"/>
      <c r="D1" s="173"/>
    </row>
    <row r="2" spans="1:4" ht="4.5" customHeight="1">
      <c r="A2" s="173"/>
      <c r="B2" s="173"/>
      <c r="C2" s="173"/>
      <c r="D2" s="173"/>
    </row>
    <row r="3" spans="1:4" ht="20.100000000000001" customHeight="1">
      <c r="A3" s="181" t="s">
        <v>315</v>
      </c>
      <c r="B3" s="179"/>
      <c r="C3" s="179"/>
      <c r="D3" s="180"/>
    </row>
    <row r="4" spans="1:4" ht="20.100000000000001" customHeight="1">
      <c r="A4" s="181" t="s">
        <v>316</v>
      </c>
      <c r="B4" s="179"/>
      <c r="C4" s="179"/>
      <c r="D4" s="180"/>
    </row>
    <row r="5" spans="1:4" ht="20.100000000000001" customHeight="1">
      <c r="A5" s="28"/>
      <c r="B5" s="178"/>
      <c r="C5" s="179"/>
      <c r="D5" s="180"/>
    </row>
    <row r="6" spans="1:4" ht="20.100000000000001" customHeight="1">
      <c r="A6" s="29"/>
      <c r="B6" s="30"/>
      <c r="C6" s="31"/>
      <c r="D6" s="32"/>
    </row>
    <row r="7" spans="1:4" ht="20.100000000000001" customHeight="1">
      <c r="A7" s="174" t="s">
        <v>0</v>
      </c>
      <c r="B7" s="175"/>
      <c r="C7" s="175"/>
      <c r="D7" s="176"/>
    </row>
    <row r="8" spans="1:4" ht="20.100000000000001" customHeight="1">
      <c r="A8" s="96" t="s">
        <v>1</v>
      </c>
      <c r="B8" s="177" t="s">
        <v>2</v>
      </c>
      <c r="C8" s="177"/>
      <c r="D8" s="34">
        <v>45783</v>
      </c>
    </row>
    <row r="9" spans="1:4" ht="30" customHeight="1">
      <c r="A9" s="96" t="s">
        <v>3</v>
      </c>
      <c r="B9" s="177" t="s">
        <v>159</v>
      </c>
      <c r="C9" s="177"/>
      <c r="D9" s="94" t="s">
        <v>317</v>
      </c>
    </row>
    <row r="10" spans="1:4" ht="20.100000000000001" customHeight="1">
      <c r="A10" s="96" t="s">
        <v>4</v>
      </c>
      <c r="B10" s="177" t="s">
        <v>142</v>
      </c>
      <c r="C10" s="177"/>
      <c r="D10" s="36" t="str">
        <f>VLOOKUP(A14,'Entrada de dados'!$A$1:$N$8,2,FALSE)</f>
        <v>PR000074/2025</v>
      </c>
    </row>
    <row r="11" spans="1:4" ht="20.100000000000001" customHeight="1">
      <c r="A11" s="96" t="s">
        <v>5</v>
      </c>
      <c r="B11" s="177" t="s">
        <v>6</v>
      </c>
      <c r="C11" s="177"/>
      <c r="D11" s="37">
        <v>30</v>
      </c>
    </row>
    <row r="12" spans="1:4" ht="20.100000000000001" customHeight="1">
      <c r="A12" s="31"/>
      <c r="B12" s="38"/>
      <c r="C12" s="31"/>
      <c r="D12" s="32"/>
    </row>
    <row r="13" spans="1:4" ht="27" customHeight="1">
      <c r="A13" s="156" t="s">
        <v>91</v>
      </c>
      <c r="B13" s="156"/>
      <c r="C13" s="94" t="s">
        <v>90</v>
      </c>
      <c r="D13" s="94" t="s">
        <v>100</v>
      </c>
    </row>
    <row r="14" spans="1:4" ht="20.100000000000001" customHeight="1">
      <c r="A14" s="182" t="str">
        <f>'Quadro Resumo'!D9</f>
        <v>SERVENTE DE LIMPEZA</v>
      </c>
      <c r="B14" s="183"/>
      <c r="C14" s="169" t="s">
        <v>92</v>
      </c>
      <c r="D14" s="171">
        <f>VLOOKUP(A14,'Quadro Resumo'!D3:G13,4,FALSE)</f>
        <v>42</v>
      </c>
    </row>
    <row r="15" spans="1:4" ht="20.100000000000001" customHeight="1">
      <c r="A15" s="184"/>
      <c r="B15" s="185"/>
      <c r="C15" s="170"/>
      <c r="D15" s="172"/>
    </row>
    <row r="16" spans="1:4" ht="20.100000000000001" customHeight="1">
      <c r="A16" s="152" t="s">
        <v>174</v>
      </c>
      <c r="B16" s="153"/>
      <c r="C16" s="154"/>
      <c r="D16" s="93">
        <v>44</v>
      </c>
    </row>
    <row r="17" spans="1:6" ht="20.100000000000001" customHeight="1">
      <c r="A17" s="152" t="s">
        <v>160</v>
      </c>
      <c r="B17" s="153"/>
      <c r="C17" s="154"/>
      <c r="D17" s="79">
        <v>45689</v>
      </c>
    </row>
    <row r="18" spans="1:6" ht="20.100000000000001" customHeight="1">
      <c r="A18" s="190"/>
      <c r="B18" s="190"/>
      <c r="C18" s="190"/>
      <c r="D18" s="39"/>
    </row>
    <row r="19" spans="1:6" ht="20.100000000000001" customHeight="1">
      <c r="A19" s="158" t="s">
        <v>7</v>
      </c>
      <c r="B19" s="158"/>
      <c r="C19" s="158"/>
      <c r="D19" s="158"/>
    </row>
    <row r="20" spans="1:6" ht="20.100000000000001" customHeight="1">
      <c r="A20" s="40">
        <v>1</v>
      </c>
      <c r="B20" s="156" t="s">
        <v>8</v>
      </c>
      <c r="C20" s="156"/>
      <c r="D20" s="40" t="s">
        <v>9</v>
      </c>
    </row>
    <row r="21" spans="1:6" ht="20.100000000000001" customHeight="1">
      <c r="A21" s="94" t="s">
        <v>1</v>
      </c>
      <c r="B21" s="160" t="s">
        <v>10</v>
      </c>
      <c r="C21" s="160"/>
      <c r="D21" s="41">
        <f>VLOOKUP(A14,'Entrada de dados'!A2:H8,3,FALSE)/44*'9'!D16</f>
        <v>1764</v>
      </c>
      <c r="F21" s="26" t="s">
        <v>138</v>
      </c>
    </row>
    <row r="22" spans="1:6" ht="20.100000000000001" customHeight="1">
      <c r="A22" s="94" t="s">
        <v>3</v>
      </c>
      <c r="B22" s="160" t="s">
        <v>99</v>
      </c>
      <c r="C22" s="160"/>
      <c r="D22" s="41"/>
      <c r="F22" s="26" t="s">
        <v>161</v>
      </c>
    </row>
    <row r="23" spans="1:6" ht="20.100000000000001" customHeight="1">
      <c r="A23" s="94" t="s">
        <v>4</v>
      </c>
      <c r="B23" s="160" t="s">
        <v>98</v>
      </c>
      <c r="C23" s="160"/>
      <c r="D23" s="41">
        <f>'Entrada de dados'!C8*40%</f>
        <v>607.20000000000005</v>
      </c>
      <c r="F23" s="71" t="s">
        <v>166</v>
      </c>
    </row>
    <row r="24" spans="1:6" ht="20.100000000000001" customHeight="1">
      <c r="A24" s="94" t="s">
        <v>5</v>
      </c>
      <c r="B24" s="160" t="s">
        <v>11</v>
      </c>
      <c r="C24" s="160"/>
      <c r="D24" s="41"/>
      <c r="F24" s="26" t="s">
        <v>161</v>
      </c>
    </row>
    <row r="25" spans="1:6" ht="20.100000000000001" customHeight="1">
      <c r="A25" s="94" t="s">
        <v>12</v>
      </c>
      <c r="B25" s="160" t="s">
        <v>29</v>
      </c>
      <c r="C25" s="160"/>
      <c r="D25" s="41"/>
      <c r="F25" s="26" t="s">
        <v>161</v>
      </c>
    </row>
    <row r="26" spans="1:6" ht="20.100000000000001" customHeight="1">
      <c r="A26" s="94" t="s">
        <v>13</v>
      </c>
      <c r="B26" s="160" t="s">
        <v>319</v>
      </c>
      <c r="C26" s="160"/>
      <c r="D26" s="41">
        <v>0</v>
      </c>
      <c r="F26" s="26" t="s">
        <v>161</v>
      </c>
    </row>
    <row r="27" spans="1:6" ht="20.100000000000001" customHeight="1">
      <c r="A27" s="156" t="s">
        <v>16</v>
      </c>
      <c r="B27" s="156"/>
      <c r="C27" s="156"/>
      <c r="D27" s="42">
        <f>SUM(D21:D26)</f>
        <v>2371.1999999999998</v>
      </c>
    </row>
    <row r="28" spans="1:6" ht="20.100000000000001" customHeight="1">
      <c r="A28" s="31"/>
      <c r="B28" s="38"/>
      <c r="C28" s="31"/>
      <c r="D28" s="43"/>
    </row>
    <row r="29" spans="1:6" ht="20.100000000000001" customHeight="1">
      <c r="A29" s="191" t="s">
        <v>30</v>
      </c>
      <c r="B29" s="191"/>
      <c r="C29" s="191"/>
      <c r="D29" s="191"/>
    </row>
    <row r="30" spans="1:6" ht="20.100000000000001" customHeight="1">
      <c r="A30" s="97"/>
      <c r="B30" s="99"/>
      <c r="C30" s="99"/>
      <c r="D30" s="43"/>
    </row>
    <row r="31" spans="1:6" ht="20.100000000000001" customHeight="1">
      <c r="A31" s="158" t="s">
        <v>31</v>
      </c>
      <c r="B31" s="158"/>
      <c r="C31" s="158"/>
      <c r="D31" s="158"/>
    </row>
    <row r="32" spans="1:6" ht="20.100000000000001" customHeight="1">
      <c r="A32" s="96" t="s">
        <v>32</v>
      </c>
      <c r="B32" s="96" t="s">
        <v>102</v>
      </c>
      <c r="C32" s="95" t="s">
        <v>38</v>
      </c>
      <c r="D32" s="96" t="s">
        <v>9</v>
      </c>
    </row>
    <row r="33" spans="1:13" ht="20.100000000000001" customHeight="1">
      <c r="A33" s="96" t="s">
        <v>1</v>
      </c>
      <c r="B33" s="47" t="s">
        <v>27</v>
      </c>
      <c r="C33" s="48">
        <v>8.3299999999999999E-2</v>
      </c>
      <c r="D33" s="49">
        <f>ROUND($D$27*C33,2)</f>
        <v>197.52</v>
      </c>
      <c r="F33" s="1" t="s">
        <v>113</v>
      </c>
    </row>
    <row r="34" spans="1:13" ht="20.100000000000001" customHeight="1">
      <c r="A34" s="96" t="s">
        <v>3</v>
      </c>
      <c r="B34" s="47" t="s">
        <v>184</v>
      </c>
      <c r="C34" s="48">
        <v>2.7799999999999998E-2</v>
      </c>
      <c r="D34" s="49">
        <f>ROUND($D$27*C34,2)</f>
        <v>65.92</v>
      </c>
      <c r="F34" s="25" t="s">
        <v>164</v>
      </c>
    </row>
    <row r="35" spans="1:13" ht="20.100000000000001" customHeight="1">
      <c r="A35" s="96" t="s">
        <v>4</v>
      </c>
      <c r="B35" s="50" t="s">
        <v>94</v>
      </c>
      <c r="C35" s="51">
        <f>SUM(C33:C34)</f>
        <v>0.1111</v>
      </c>
      <c r="D35" s="42">
        <f>SUM(D33:D34)</f>
        <v>263.44</v>
      </c>
    </row>
    <row r="36" spans="1:13" ht="20.100000000000001" customHeight="1">
      <c r="A36" s="96" t="s">
        <v>5</v>
      </c>
      <c r="B36" s="47" t="s">
        <v>95</v>
      </c>
      <c r="C36" s="48">
        <f>C35*C49</f>
        <v>0.04</v>
      </c>
      <c r="D36" s="49">
        <f>ROUND($D$27*C36,2)</f>
        <v>94.85</v>
      </c>
    </row>
    <row r="37" spans="1:13" ht="20.100000000000001" customHeight="1">
      <c r="A37" s="158" t="s">
        <v>34</v>
      </c>
      <c r="B37" s="158"/>
      <c r="C37" s="51">
        <f>SUM(C35:C36)</f>
        <v>0.15110000000000001</v>
      </c>
      <c r="D37" s="42">
        <f>SUM(D35:D36)</f>
        <v>358.29</v>
      </c>
      <c r="M37" s="5"/>
    </row>
    <row r="38" spans="1:13" ht="20.100000000000001" customHeight="1">
      <c r="A38" s="97"/>
      <c r="B38" s="97"/>
      <c r="C38" s="97"/>
      <c r="D38" s="43"/>
    </row>
    <row r="39" spans="1:13" ht="33" customHeight="1">
      <c r="A39" s="159" t="s">
        <v>35</v>
      </c>
      <c r="B39" s="159"/>
      <c r="C39" s="159"/>
      <c r="D39" s="159"/>
    </row>
    <row r="40" spans="1:13" ht="33.75" customHeight="1">
      <c r="A40" s="95" t="s">
        <v>36</v>
      </c>
      <c r="B40" s="50" t="s">
        <v>37</v>
      </c>
      <c r="C40" s="95" t="s">
        <v>38</v>
      </c>
      <c r="D40" s="95" t="s">
        <v>9</v>
      </c>
      <c r="E40" s="2"/>
    </row>
    <row r="41" spans="1:13" ht="20.100000000000001" customHeight="1">
      <c r="A41" s="52" t="s">
        <v>1</v>
      </c>
      <c r="B41" s="47" t="s">
        <v>39</v>
      </c>
      <c r="C41" s="48">
        <v>0.2</v>
      </c>
      <c r="D41" s="49">
        <f t="shared" ref="D41:D48" si="0">ROUND($D$27*C41,2)</f>
        <v>474.24</v>
      </c>
      <c r="F41" s="72" t="s">
        <v>114</v>
      </c>
    </row>
    <row r="42" spans="1:13" ht="20.100000000000001" customHeight="1">
      <c r="A42" s="52" t="s">
        <v>3</v>
      </c>
      <c r="B42" s="47" t="s">
        <v>40</v>
      </c>
      <c r="C42" s="48">
        <v>2.5000000000000001E-2</v>
      </c>
      <c r="D42" s="49">
        <f t="shared" si="0"/>
        <v>59.28</v>
      </c>
      <c r="F42" s="72" t="s">
        <v>115</v>
      </c>
    </row>
    <row r="43" spans="1:13" ht="20.100000000000001" customHeight="1">
      <c r="A43" s="52" t="s">
        <v>4</v>
      </c>
      <c r="B43" s="47" t="s">
        <v>41</v>
      </c>
      <c r="C43" s="48">
        <f>2%*1.0942</f>
        <v>2.1899999999999999E-2</v>
      </c>
      <c r="D43" s="49">
        <f t="shared" si="0"/>
        <v>51.93</v>
      </c>
      <c r="F43" s="72" t="s">
        <v>116</v>
      </c>
    </row>
    <row r="44" spans="1:13" ht="20.100000000000001" customHeight="1">
      <c r="A44" s="52" t="s">
        <v>5</v>
      </c>
      <c r="B44" s="47" t="s">
        <v>42</v>
      </c>
      <c r="C44" s="48">
        <v>1.4999999999999999E-2</v>
      </c>
      <c r="D44" s="49">
        <f t="shared" si="0"/>
        <v>35.57</v>
      </c>
      <c r="F44" s="72" t="s">
        <v>117</v>
      </c>
    </row>
    <row r="45" spans="1:13" ht="20.100000000000001" customHeight="1">
      <c r="A45" s="52" t="s">
        <v>12</v>
      </c>
      <c r="B45" s="47" t="s">
        <v>43</v>
      </c>
      <c r="C45" s="48">
        <v>0.01</v>
      </c>
      <c r="D45" s="49">
        <f t="shared" si="0"/>
        <v>23.71</v>
      </c>
      <c r="F45" s="72" t="s">
        <v>118</v>
      </c>
    </row>
    <row r="46" spans="1:13" ht="20.100000000000001" customHeight="1">
      <c r="A46" s="52" t="s">
        <v>13</v>
      </c>
      <c r="B46" s="47" t="s">
        <v>44</v>
      </c>
      <c r="C46" s="48">
        <v>6.0000000000000001E-3</v>
      </c>
      <c r="D46" s="49">
        <f t="shared" si="0"/>
        <v>14.23</v>
      </c>
      <c r="F46" s="72" t="s">
        <v>119</v>
      </c>
    </row>
    <row r="47" spans="1:13" ht="20.100000000000001" customHeight="1">
      <c r="A47" s="52" t="s">
        <v>14</v>
      </c>
      <c r="B47" s="47" t="s">
        <v>45</v>
      </c>
      <c r="C47" s="48">
        <v>2E-3</v>
      </c>
      <c r="D47" s="49">
        <f t="shared" si="0"/>
        <v>4.74</v>
      </c>
      <c r="F47" s="72" t="s">
        <v>120</v>
      </c>
    </row>
    <row r="48" spans="1:13" ht="20.100000000000001" customHeight="1">
      <c r="A48" s="52" t="s">
        <v>15</v>
      </c>
      <c r="B48" s="47" t="s">
        <v>46</v>
      </c>
      <c r="C48" s="48">
        <v>0.08</v>
      </c>
      <c r="D48" s="49">
        <f t="shared" si="0"/>
        <v>189.7</v>
      </c>
      <c r="F48" s="72" t="s">
        <v>121</v>
      </c>
    </row>
    <row r="49" spans="1:13" ht="20.100000000000001" customHeight="1">
      <c r="A49" s="159" t="s">
        <v>22</v>
      </c>
      <c r="B49" s="159"/>
      <c r="C49" s="51">
        <f>ROUND(SUM(C41:C48),4)</f>
        <v>0.3599</v>
      </c>
      <c r="D49" s="42">
        <f>ROUND(SUM(D41:D48),2)</f>
        <v>853.4</v>
      </c>
      <c r="F49" s="25" t="s">
        <v>122</v>
      </c>
      <c r="M49" s="5"/>
    </row>
    <row r="50" spans="1:13" ht="20.100000000000001" customHeight="1">
      <c r="A50" s="97"/>
      <c r="B50" s="97"/>
      <c r="C50" s="97"/>
      <c r="D50" s="43"/>
    </row>
    <row r="51" spans="1:13" ht="20.100000000000001" customHeight="1">
      <c r="A51" s="161" t="s">
        <v>47</v>
      </c>
      <c r="B51" s="161"/>
      <c r="C51" s="161"/>
      <c r="D51" s="161"/>
    </row>
    <row r="52" spans="1:13" ht="20.100000000000001" customHeight="1">
      <c r="A52" s="94" t="s">
        <v>48</v>
      </c>
      <c r="B52" s="156" t="s">
        <v>17</v>
      </c>
      <c r="C52" s="156"/>
      <c r="D52" s="94" t="s">
        <v>9</v>
      </c>
      <c r="F52" s="14" t="s">
        <v>104</v>
      </c>
      <c r="G52" s="8"/>
      <c r="K52" s="5"/>
    </row>
    <row r="53" spans="1:13" ht="20.100000000000001" customHeight="1">
      <c r="A53" s="94" t="s">
        <v>1</v>
      </c>
      <c r="B53" s="155" t="s">
        <v>101</v>
      </c>
      <c r="C53" s="155"/>
      <c r="D53" s="41">
        <f>IF(((F55*2*F53)-(D21*0.06))&lt;0,0,((F55*2*F53)-(D21*0.06)))</f>
        <v>0</v>
      </c>
      <c r="F53" s="16">
        <v>15</v>
      </c>
      <c r="G53" s="8"/>
      <c r="H53" s="26" t="s">
        <v>163</v>
      </c>
      <c r="K53" s="5"/>
    </row>
    <row r="54" spans="1:13" ht="20.100000000000001" customHeight="1">
      <c r="A54" s="94" t="s">
        <v>3</v>
      </c>
      <c r="B54" s="157" t="s">
        <v>112</v>
      </c>
      <c r="C54" s="157"/>
      <c r="D54" s="41">
        <f>F57*1*(1-F59)</f>
        <v>644</v>
      </c>
      <c r="F54" s="14" t="s">
        <v>145</v>
      </c>
      <c r="G54" s="8"/>
      <c r="H54" s="26" t="s">
        <v>163</v>
      </c>
      <c r="K54" s="5"/>
    </row>
    <row r="55" spans="1:13" ht="20.100000000000001" customHeight="1">
      <c r="A55" s="94" t="s">
        <v>4</v>
      </c>
      <c r="B55" s="155" t="s">
        <v>175</v>
      </c>
      <c r="C55" s="155"/>
      <c r="D55" s="41">
        <f>VLOOKUP(A14,'Entrada de dados'!A2:H8,5,FALSE)</f>
        <v>28</v>
      </c>
      <c r="F55" s="15">
        <v>0</v>
      </c>
      <c r="G55" s="8"/>
      <c r="H55" s="26" t="s">
        <v>320</v>
      </c>
      <c r="K55" s="5"/>
    </row>
    <row r="56" spans="1:13" ht="20.100000000000001" customHeight="1">
      <c r="A56" s="94" t="s">
        <v>5</v>
      </c>
      <c r="B56" s="155" t="s">
        <v>176</v>
      </c>
      <c r="C56" s="155"/>
      <c r="D56" s="41">
        <f>VLOOKUP(A14,'Entrada de dados'!A2:H8,6,FALSE)</f>
        <v>28</v>
      </c>
      <c r="F56" s="14" t="s">
        <v>105</v>
      </c>
      <c r="G56" s="8"/>
      <c r="H56" s="26" t="s">
        <v>163</v>
      </c>
      <c r="K56" s="5"/>
    </row>
    <row r="57" spans="1:13" ht="20.100000000000001" customHeight="1">
      <c r="A57" s="98" t="s">
        <v>49</v>
      </c>
      <c r="B57" s="155" t="s">
        <v>177</v>
      </c>
      <c r="C57" s="155"/>
      <c r="D57" s="41">
        <f>VLOOKUP(A14,'Entrada de dados'!A2:H8,7,FALSE)</f>
        <v>87.5</v>
      </c>
      <c r="F57" s="15">
        <f>VLOOKUP(A14,'Entrada de dados'!A2:H8,4,FALSE)</f>
        <v>805</v>
      </c>
      <c r="G57" s="8"/>
      <c r="H57" s="26" t="s">
        <v>163</v>
      </c>
      <c r="K57" s="5"/>
    </row>
    <row r="58" spans="1:13" ht="20.100000000000001" customHeight="1">
      <c r="A58" s="98" t="s">
        <v>13</v>
      </c>
      <c r="B58" s="157" t="s">
        <v>178</v>
      </c>
      <c r="C58" s="157"/>
      <c r="D58" s="41">
        <f>VLOOKUP(A14,'Entrada de dados'!A2:H8,8,FALSE)*0.8</f>
        <v>53.66</v>
      </c>
      <c r="F58" s="14" t="s">
        <v>106</v>
      </c>
      <c r="G58" s="8"/>
      <c r="H58" s="26" t="s">
        <v>163</v>
      </c>
      <c r="K58" s="5"/>
    </row>
    <row r="59" spans="1:13" ht="20.100000000000001" customHeight="1">
      <c r="A59" s="98" t="s">
        <v>14</v>
      </c>
      <c r="B59" s="157" t="s">
        <v>179</v>
      </c>
      <c r="C59" s="157"/>
      <c r="D59" s="41">
        <v>0</v>
      </c>
      <c r="F59" s="10">
        <v>0.2</v>
      </c>
      <c r="G59" s="8"/>
      <c r="H59" s="26" t="s">
        <v>163</v>
      </c>
      <c r="K59" s="5"/>
    </row>
    <row r="60" spans="1:13" ht="20.100000000000001" customHeight="1">
      <c r="A60" s="158" t="s">
        <v>18</v>
      </c>
      <c r="B60" s="158"/>
      <c r="C60" s="158"/>
      <c r="D60" s="54">
        <f>ROUND(SUM(D53:D59),2)</f>
        <v>841.16</v>
      </c>
      <c r="F60" s="9"/>
      <c r="G60" s="8"/>
      <c r="K60" s="5"/>
    </row>
    <row r="61" spans="1:13" ht="20.100000000000001" customHeight="1">
      <c r="A61" s="31"/>
      <c r="B61" s="38"/>
      <c r="C61" s="31"/>
      <c r="D61" s="43"/>
      <c r="F61" s="9"/>
      <c r="G61" s="8"/>
      <c r="K61" s="5"/>
    </row>
    <row r="62" spans="1:13" ht="20.100000000000001" customHeight="1">
      <c r="A62" s="158" t="s">
        <v>50</v>
      </c>
      <c r="B62" s="158"/>
      <c r="C62" s="158"/>
      <c r="D62" s="158"/>
      <c r="F62" s="9"/>
      <c r="G62" s="8"/>
      <c r="K62" s="5"/>
    </row>
    <row r="63" spans="1:13" ht="20.100000000000001" customHeight="1">
      <c r="A63" s="95">
        <v>2</v>
      </c>
      <c r="B63" s="159" t="s">
        <v>51</v>
      </c>
      <c r="C63" s="159"/>
      <c r="D63" s="95" t="s">
        <v>9</v>
      </c>
      <c r="F63" s="9"/>
      <c r="G63" s="8"/>
      <c r="K63" s="5"/>
    </row>
    <row r="64" spans="1:13" ht="20.100000000000001" customHeight="1">
      <c r="A64" s="95" t="s">
        <v>32</v>
      </c>
      <c r="B64" s="155" t="s">
        <v>33</v>
      </c>
      <c r="C64" s="155"/>
      <c r="D64" s="49">
        <f>ROUND(D37,2)</f>
        <v>358.29</v>
      </c>
      <c r="F64" s="9"/>
      <c r="G64" s="8"/>
      <c r="K64" s="5"/>
    </row>
    <row r="65" spans="1:13" ht="20.100000000000001" customHeight="1">
      <c r="A65" s="95" t="s">
        <v>36</v>
      </c>
      <c r="B65" s="155" t="s">
        <v>37</v>
      </c>
      <c r="C65" s="155"/>
      <c r="D65" s="49">
        <f>ROUND(D49,2)</f>
        <v>853.4</v>
      </c>
      <c r="F65" s="9"/>
      <c r="G65" s="8"/>
      <c r="K65" s="5"/>
    </row>
    <row r="66" spans="1:13" ht="20.100000000000001" customHeight="1">
      <c r="A66" s="95" t="s">
        <v>48</v>
      </c>
      <c r="B66" s="155" t="s">
        <v>17</v>
      </c>
      <c r="C66" s="155"/>
      <c r="D66" s="49">
        <f>ROUND(D60,2)</f>
        <v>841.16</v>
      </c>
      <c r="F66" s="9"/>
      <c r="G66" s="8"/>
      <c r="K66" s="5"/>
    </row>
    <row r="67" spans="1:13" ht="20.100000000000001" customHeight="1">
      <c r="A67" s="159" t="s">
        <v>22</v>
      </c>
      <c r="B67" s="159"/>
      <c r="C67" s="159"/>
      <c r="D67" s="42">
        <f>ROUND(SUM(D64:D66),2)</f>
        <v>2052.85</v>
      </c>
      <c r="F67" s="9"/>
      <c r="G67" s="8"/>
      <c r="K67" s="5"/>
    </row>
    <row r="68" spans="1:13" ht="20.100000000000001" customHeight="1">
      <c r="A68" s="31"/>
      <c r="B68" s="38"/>
      <c r="C68" s="31"/>
      <c r="D68" s="43"/>
      <c r="F68" s="9"/>
      <c r="G68" s="8"/>
      <c r="K68" s="5"/>
    </row>
    <row r="69" spans="1:13" ht="20.100000000000001" customHeight="1">
      <c r="A69" s="161" t="s">
        <v>52</v>
      </c>
      <c r="B69" s="161"/>
      <c r="C69" s="161"/>
      <c r="D69" s="161"/>
      <c r="F69" s="9"/>
      <c r="G69" s="8"/>
      <c r="K69" s="5"/>
    </row>
    <row r="70" spans="1:13" ht="20.100000000000001" customHeight="1">
      <c r="A70" s="95">
        <v>3</v>
      </c>
      <c r="B70" s="50" t="s">
        <v>23</v>
      </c>
      <c r="C70" s="95" t="s">
        <v>38</v>
      </c>
      <c r="D70" s="95" t="s">
        <v>9</v>
      </c>
      <c r="F70" s="9"/>
      <c r="G70" s="8"/>
      <c r="K70" s="5"/>
    </row>
    <row r="71" spans="1:13" ht="20.100000000000001" customHeight="1">
      <c r="A71" s="95" t="s">
        <v>1</v>
      </c>
      <c r="B71" s="47" t="s">
        <v>53</v>
      </c>
      <c r="C71" s="55">
        <f>1/12*0.05</f>
        <v>4.1999999999999997E-3</v>
      </c>
      <c r="D71" s="49">
        <f>ROUND(($D$27+$D$94)*C71,2)</f>
        <v>10.98</v>
      </c>
      <c r="F71" s="188" t="s">
        <v>123</v>
      </c>
      <c r="G71" s="188"/>
      <c r="H71" s="188"/>
      <c r="I71" s="188"/>
      <c r="J71" s="188"/>
      <c r="K71" s="188"/>
    </row>
    <row r="72" spans="1:13" ht="20.100000000000001" customHeight="1">
      <c r="A72" s="95" t="s">
        <v>3</v>
      </c>
      <c r="B72" s="47" t="s">
        <v>54</v>
      </c>
      <c r="C72" s="56">
        <f>C71*C48</f>
        <v>3.3599999999999998E-4</v>
      </c>
      <c r="D72" s="49">
        <f>ROUND(($D$27+$D$94)*C72,2)</f>
        <v>0.88</v>
      </c>
      <c r="F72" s="188" t="s">
        <v>124</v>
      </c>
      <c r="G72" s="188"/>
      <c r="H72" s="188"/>
      <c r="K72" s="73"/>
    </row>
    <row r="73" spans="1:13" ht="19.5" customHeight="1">
      <c r="A73" s="95" t="s">
        <v>4</v>
      </c>
      <c r="B73" s="47" t="s">
        <v>108</v>
      </c>
      <c r="C73" s="55">
        <v>6.4999999999999997E-3</v>
      </c>
      <c r="D73" s="49">
        <f>ROUND($D$27*C73,2)</f>
        <v>15.41</v>
      </c>
      <c r="F73" s="188" t="s">
        <v>125</v>
      </c>
      <c r="G73" s="188"/>
      <c r="H73" s="188"/>
      <c r="I73" s="188"/>
      <c r="J73" s="188"/>
      <c r="K73" s="188"/>
    </row>
    <row r="74" spans="1:13" ht="20.100000000000001" customHeight="1">
      <c r="A74" s="95" t="s">
        <v>5</v>
      </c>
      <c r="B74" s="47" t="s">
        <v>97</v>
      </c>
      <c r="C74" s="55">
        <f>7/30/12</f>
        <v>1.9400000000000001E-2</v>
      </c>
      <c r="D74" s="49">
        <f>ROUND(($D$27+$D$94)*C74,2)</f>
        <v>50.71</v>
      </c>
      <c r="F74" s="188" t="s">
        <v>126</v>
      </c>
      <c r="G74" s="188"/>
      <c r="H74" s="188"/>
      <c r="I74" s="188"/>
      <c r="J74" s="188"/>
      <c r="K74" s="188"/>
    </row>
    <row r="75" spans="1:13" ht="32.25" customHeight="1">
      <c r="A75" s="95" t="s">
        <v>12</v>
      </c>
      <c r="B75" s="47" t="s">
        <v>55</v>
      </c>
      <c r="C75" s="55">
        <f>C74*C49</f>
        <v>7.0000000000000001E-3</v>
      </c>
      <c r="D75" s="49">
        <f>ROUND(($D$27+$D$94)*C75,2)</f>
        <v>18.3</v>
      </c>
      <c r="F75" s="188" t="s">
        <v>127</v>
      </c>
      <c r="G75" s="188"/>
      <c r="H75" s="188"/>
      <c r="K75" s="73"/>
    </row>
    <row r="76" spans="1:13" ht="21.75" customHeight="1">
      <c r="A76" s="95" t="s">
        <v>4</v>
      </c>
      <c r="B76" s="47" t="s">
        <v>109</v>
      </c>
      <c r="C76" s="55">
        <v>3.3500000000000002E-2</v>
      </c>
      <c r="D76" s="49">
        <f>ROUND($D$27*C76,2)</f>
        <v>79.44</v>
      </c>
      <c r="F76" s="188" t="s">
        <v>125</v>
      </c>
      <c r="G76" s="188"/>
      <c r="H76" s="188"/>
      <c r="K76" s="73"/>
    </row>
    <row r="77" spans="1:13" ht="20.100000000000001" customHeight="1">
      <c r="A77" s="159" t="s">
        <v>22</v>
      </c>
      <c r="B77" s="159"/>
      <c r="C77" s="57">
        <f>ROUND(SUM(C71:C76),4)</f>
        <v>7.0900000000000005E-2</v>
      </c>
      <c r="D77" s="54">
        <f>ROUND(SUM(D71:D76),2)</f>
        <v>175.72</v>
      </c>
      <c r="F77" s="9"/>
      <c r="G77" s="8"/>
      <c r="K77" s="5"/>
      <c r="M77" s="5"/>
    </row>
    <row r="78" spans="1:13" ht="20.100000000000001" customHeight="1">
      <c r="A78" s="99"/>
      <c r="B78" s="99"/>
      <c r="C78" s="99"/>
      <c r="D78" s="43"/>
      <c r="F78" s="9"/>
      <c r="G78" s="8"/>
      <c r="K78" s="5"/>
    </row>
    <row r="79" spans="1:13" ht="20.100000000000001" customHeight="1">
      <c r="A79" s="168" t="s">
        <v>56</v>
      </c>
      <c r="B79" s="168"/>
      <c r="C79" s="168"/>
      <c r="D79" s="168"/>
      <c r="F79" s="9"/>
      <c r="G79" s="8"/>
      <c r="K79" s="5"/>
      <c r="L79" s="3"/>
    </row>
    <row r="80" spans="1:13" ht="20.100000000000001" customHeight="1">
      <c r="A80" s="99"/>
      <c r="B80" s="99"/>
      <c r="C80" s="99"/>
      <c r="D80" s="99"/>
      <c r="K80" s="6"/>
    </row>
    <row r="81" spans="1:13" ht="20.100000000000001" customHeight="1">
      <c r="A81" s="161" t="s">
        <v>57</v>
      </c>
      <c r="B81" s="161"/>
      <c r="C81" s="161"/>
      <c r="D81" s="161"/>
      <c r="K81" s="6"/>
    </row>
    <row r="82" spans="1:13" ht="20.100000000000001" customHeight="1">
      <c r="A82" s="95" t="s">
        <v>20</v>
      </c>
      <c r="B82" s="50" t="s">
        <v>58</v>
      </c>
      <c r="C82" s="95" t="s">
        <v>38</v>
      </c>
      <c r="D82" s="95" t="s">
        <v>9</v>
      </c>
      <c r="F82" s="2"/>
      <c r="G82" s="2"/>
      <c r="K82" s="6"/>
    </row>
    <row r="83" spans="1:13" ht="20.100000000000001" customHeight="1">
      <c r="A83" s="95" t="s">
        <v>1</v>
      </c>
      <c r="B83" s="47" t="s">
        <v>59</v>
      </c>
      <c r="C83" s="55">
        <f>1/12</f>
        <v>8.3299999999999999E-2</v>
      </c>
      <c r="D83" s="49">
        <f t="shared" ref="D83:D89" si="1">ROUND(($D$27+$D$67+$D$77)*C83,2)</f>
        <v>383.16</v>
      </c>
      <c r="F83" s="186" t="s">
        <v>128</v>
      </c>
      <c r="G83" s="186"/>
      <c r="H83" s="186"/>
      <c r="I83" s="77"/>
      <c r="J83" s="77"/>
      <c r="K83" s="78"/>
    </row>
    <row r="84" spans="1:13" ht="20.100000000000001" customHeight="1">
      <c r="A84" s="95" t="s">
        <v>3</v>
      </c>
      <c r="B84" s="47" t="s">
        <v>58</v>
      </c>
      <c r="C84" s="55">
        <f>0.05/365</f>
        <v>1E-4</v>
      </c>
      <c r="D84" s="49">
        <f t="shared" si="1"/>
        <v>0.46</v>
      </c>
      <c r="E84" s="4"/>
      <c r="F84" s="186" t="s">
        <v>129</v>
      </c>
      <c r="G84" s="186"/>
      <c r="H84" s="186"/>
      <c r="I84" s="77"/>
      <c r="J84" s="77"/>
      <c r="K84" s="77"/>
    </row>
    <row r="85" spans="1:13" ht="27" customHeight="1">
      <c r="A85" s="95" t="s">
        <v>4</v>
      </c>
      <c r="B85" s="47" t="s">
        <v>110</v>
      </c>
      <c r="C85" s="55">
        <f>5/30/12*0.005</f>
        <v>1E-4</v>
      </c>
      <c r="D85" s="49">
        <f t="shared" si="1"/>
        <v>0.46</v>
      </c>
      <c r="F85" s="186" t="s">
        <v>139</v>
      </c>
      <c r="G85" s="186"/>
      <c r="H85" s="186"/>
      <c r="I85" s="186"/>
      <c r="J85" s="186"/>
      <c r="K85" s="186"/>
    </row>
    <row r="86" spans="1:13" ht="20.100000000000001" customHeight="1">
      <c r="A86" s="95" t="s">
        <v>5</v>
      </c>
      <c r="B86" s="47" t="s">
        <v>28</v>
      </c>
      <c r="C86" s="55">
        <f>15/30/12*0.003</f>
        <v>1E-4</v>
      </c>
      <c r="D86" s="49">
        <f t="shared" si="1"/>
        <v>0.46</v>
      </c>
      <c r="F86" s="186" t="s">
        <v>130</v>
      </c>
      <c r="G86" s="186"/>
      <c r="H86" s="186"/>
      <c r="I86" s="186"/>
      <c r="J86" s="186"/>
      <c r="K86" s="186"/>
    </row>
    <row r="87" spans="1:13" ht="22.5" customHeight="1">
      <c r="A87" s="95" t="s">
        <v>12</v>
      </c>
      <c r="B87" s="47" t="s">
        <v>111</v>
      </c>
      <c r="C87" s="55">
        <f>0.005*(4/12)/12</f>
        <v>1E-4</v>
      </c>
      <c r="D87" s="49">
        <f t="shared" si="1"/>
        <v>0.46</v>
      </c>
      <c r="F87" s="186" t="s">
        <v>140</v>
      </c>
      <c r="G87" s="186"/>
      <c r="H87" s="186"/>
      <c r="I87" s="186"/>
      <c r="J87" s="186"/>
      <c r="K87" s="186"/>
    </row>
    <row r="88" spans="1:13" ht="20.100000000000001" customHeight="1">
      <c r="A88" s="95" t="s">
        <v>13</v>
      </c>
      <c r="B88" s="47" t="s">
        <v>85</v>
      </c>
      <c r="C88" s="55">
        <f>0.05/365</f>
        <v>1E-4</v>
      </c>
      <c r="D88" s="49">
        <f t="shared" si="1"/>
        <v>0.46</v>
      </c>
      <c r="E88" s="5"/>
      <c r="F88" s="186" t="s">
        <v>131</v>
      </c>
      <c r="G88" s="186"/>
      <c r="H88" s="186"/>
      <c r="I88" s="77"/>
      <c r="J88" s="77"/>
      <c r="K88" s="77"/>
    </row>
    <row r="89" spans="1:13" ht="20.100000000000001" customHeight="1">
      <c r="A89" s="95" t="s">
        <v>14</v>
      </c>
      <c r="B89" s="47" t="s">
        <v>84</v>
      </c>
      <c r="C89" s="55"/>
      <c r="D89" s="49">
        <f t="shared" si="1"/>
        <v>0</v>
      </c>
      <c r="E89" s="5"/>
      <c r="F89" s="189" t="s">
        <v>162</v>
      </c>
      <c r="G89" s="189"/>
      <c r="H89" s="189"/>
      <c r="I89" s="189"/>
      <c r="J89" s="189"/>
      <c r="K89" s="189"/>
    </row>
    <row r="90" spans="1:13" ht="20.100000000000001" customHeight="1">
      <c r="A90" s="159" t="s">
        <v>22</v>
      </c>
      <c r="B90" s="159"/>
      <c r="C90" s="51">
        <f>ROUND(SUM(C83:C89),4)</f>
        <v>8.3799999999999999E-2</v>
      </c>
      <c r="D90" s="42">
        <f>ROUND(SUM(D83:D89),2)</f>
        <v>385.46</v>
      </c>
      <c r="F90" s="74"/>
      <c r="M90" s="5"/>
    </row>
    <row r="91" spans="1:13" ht="20.100000000000001" customHeight="1">
      <c r="A91" s="99"/>
      <c r="B91" s="99"/>
      <c r="C91" s="32"/>
      <c r="D91" s="43"/>
      <c r="F91" s="13"/>
      <c r="M91" s="13"/>
    </row>
    <row r="92" spans="1:13" ht="20.100000000000001" customHeight="1">
      <c r="A92" s="161" t="s">
        <v>60</v>
      </c>
      <c r="B92" s="161"/>
      <c r="C92" s="161"/>
      <c r="D92" s="161"/>
    </row>
    <row r="93" spans="1:13" ht="20.100000000000001" customHeight="1">
      <c r="A93" s="95" t="s">
        <v>21</v>
      </c>
      <c r="B93" s="50" t="s">
        <v>61</v>
      </c>
      <c r="C93" s="95" t="s">
        <v>38</v>
      </c>
      <c r="D93" s="95" t="s">
        <v>9</v>
      </c>
      <c r="E93" s="3"/>
    </row>
    <row r="94" spans="1:13" ht="20.100000000000001" customHeight="1">
      <c r="A94" s="95" t="s">
        <v>1</v>
      </c>
      <c r="B94" s="47" t="s">
        <v>62</v>
      </c>
      <c r="C94" s="55">
        <f>D94/D27</f>
        <v>0.1023</v>
      </c>
      <c r="D94" s="41">
        <f>D27/220*1.5*1*15</f>
        <v>242.51</v>
      </c>
      <c r="E94" s="7"/>
    </row>
    <row r="95" spans="1:13" ht="20.100000000000001" customHeight="1">
      <c r="A95" s="164" t="s">
        <v>22</v>
      </c>
      <c r="B95" s="165"/>
      <c r="C95" s="166"/>
      <c r="D95" s="41">
        <f>ROUND(D94,2)</f>
        <v>242.51</v>
      </c>
    </row>
    <row r="96" spans="1:13" ht="20.100000000000001" customHeight="1">
      <c r="A96" s="31"/>
      <c r="B96" s="38"/>
      <c r="C96" s="31"/>
      <c r="D96" s="43"/>
    </row>
    <row r="97" spans="1:5" ht="20.100000000000001" customHeight="1">
      <c r="A97" s="161" t="s">
        <v>63</v>
      </c>
      <c r="B97" s="161"/>
      <c r="C97" s="161"/>
      <c r="D97" s="161"/>
    </row>
    <row r="98" spans="1:5" ht="20.100000000000001" customHeight="1">
      <c r="A98" s="95">
        <v>4</v>
      </c>
      <c r="B98" s="159" t="s">
        <v>64</v>
      </c>
      <c r="C98" s="159"/>
      <c r="D98" s="95" t="s">
        <v>9</v>
      </c>
    </row>
    <row r="99" spans="1:5" ht="20.100000000000001" customHeight="1">
      <c r="A99" s="52" t="s">
        <v>20</v>
      </c>
      <c r="B99" s="155" t="s">
        <v>58</v>
      </c>
      <c r="C99" s="155"/>
      <c r="D99" s="49">
        <f>ROUND(D90,2)</f>
        <v>385.46</v>
      </c>
    </row>
    <row r="100" spans="1:5" ht="20.100000000000001" customHeight="1">
      <c r="A100" s="52" t="s">
        <v>21</v>
      </c>
      <c r="B100" s="155" t="s">
        <v>61</v>
      </c>
      <c r="C100" s="155"/>
      <c r="D100" s="49">
        <f>ROUND(D95,2)</f>
        <v>242.51</v>
      </c>
    </row>
    <row r="101" spans="1:5" ht="20.100000000000001" customHeight="1">
      <c r="A101" s="159" t="s">
        <v>22</v>
      </c>
      <c r="B101" s="159"/>
      <c r="C101" s="159"/>
      <c r="D101" s="42">
        <f>ROUND(SUM(D99:D100),2)</f>
        <v>627.97</v>
      </c>
    </row>
    <row r="102" spans="1:5" ht="20.100000000000001" customHeight="1">
      <c r="A102" s="31"/>
      <c r="B102" s="38"/>
      <c r="C102" s="31"/>
      <c r="D102" s="43"/>
      <c r="E102" s="5"/>
    </row>
    <row r="103" spans="1:5" ht="20.100000000000001" customHeight="1">
      <c r="A103" s="158" t="s">
        <v>65</v>
      </c>
      <c r="B103" s="158"/>
      <c r="C103" s="158"/>
      <c r="D103" s="158"/>
    </row>
    <row r="104" spans="1:5" ht="20.100000000000001" customHeight="1">
      <c r="A104" s="96">
        <v>5</v>
      </c>
      <c r="B104" s="158" t="s">
        <v>103</v>
      </c>
      <c r="C104" s="158"/>
      <c r="D104" s="96" t="s">
        <v>9</v>
      </c>
    </row>
    <row r="105" spans="1:5" ht="20.100000000000001" customHeight="1">
      <c r="A105" s="96" t="s">
        <v>1</v>
      </c>
      <c r="B105" s="163" t="s">
        <v>89</v>
      </c>
      <c r="C105" s="163"/>
      <c r="D105" s="41">
        <f>VLOOKUP(A14,'Entrada de dados'!A2:N10,9,FALSE)</f>
        <v>19.16</v>
      </c>
    </row>
    <row r="106" spans="1:5" ht="20.100000000000001" customHeight="1">
      <c r="A106" s="96" t="s">
        <v>3</v>
      </c>
      <c r="B106" s="163" t="s">
        <v>321</v>
      </c>
      <c r="C106" s="163"/>
      <c r="D106" s="41">
        <f>VLOOKUP(A14,'Entrada de dados'!A2:N10,10,FALSE)</f>
        <v>198.91</v>
      </c>
    </row>
    <row r="107" spans="1:5" ht="20.100000000000001" customHeight="1">
      <c r="A107" s="96" t="s">
        <v>3</v>
      </c>
      <c r="B107" s="163" t="s">
        <v>83</v>
      </c>
      <c r="C107" s="163"/>
      <c r="D107" s="41">
        <f>VLOOKUP(A14,'Entrada de dados'!A2:N10,11,FALSE)</f>
        <v>7.08</v>
      </c>
    </row>
    <row r="108" spans="1:5" ht="20.100000000000001" customHeight="1">
      <c r="A108" s="96" t="s">
        <v>3</v>
      </c>
      <c r="B108" s="163" t="s">
        <v>322</v>
      </c>
      <c r="C108" s="163"/>
      <c r="D108" s="41">
        <f>VLOOKUP(A14,'Entrada de dados'!A2:N10,12,FALSE)</f>
        <v>205.86</v>
      </c>
    </row>
    <row r="109" spans="1:5" ht="20.100000000000001" customHeight="1">
      <c r="A109" s="96" t="s">
        <v>3</v>
      </c>
      <c r="B109" s="163" t="s">
        <v>141</v>
      </c>
      <c r="C109" s="163"/>
      <c r="D109" s="41">
        <f>VLOOKUP(A14,'Entrada de dados'!A2:N10,13,FALSE)</f>
        <v>18.78</v>
      </c>
    </row>
    <row r="110" spans="1:5" ht="20.100000000000001" customHeight="1">
      <c r="A110" s="58" t="s">
        <v>4</v>
      </c>
      <c r="B110" s="163" t="s">
        <v>323</v>
      </c>
      <c r="C110" s="163"/>
      <c r="D110" s="41">
        <f>VLOOKUP(A14,'Entrada de dados'!A2:N10,14,FALSE)</f>
        <v>25.67</v>
      </c>
    </row>
    <row r="111" spans="1:5" ht="20.100000000000001" customHeight="1">
      <c r="A111" s="58" t="s">
        <v>5</v>
      </c>
      <c r="B111" s="163" t="s">
        <v>324</v>
      </c>
      <c r="C111" s="163"/>
      <c r="D111" s="41">
        <v>0</v>
      </c>
    </row>
    <row r="112" spans="1:5" ht="20.100000000000001" customHeight="1">
      <c r="A112" s="158" t="s">
        <v>19</v>
      </c>
      <c r="B112" s="158"/>
      <c r="C112" s="158"/>
      <c r="D112" s="54">
        <f>ROUND(SUM(D105:D111),2)</f>
        <v>475.46</v>
      </c>
    </row>
    <row r="113" spans="1:8" ht="20.100000000000001" customHeight="1">
      <c r="A113" s="167"/>
      <c r="B113" s="167"/>
      <c r="C113" s="167"/>
      <c r="D113" s="32"/>
    </row>
    <row r="114" spans="1:8" ht="20.100000000000001" customHeight="1">
      <c r="A114" s="158" t="s">
        <v>79</v>
      </c>
      <c r="B114" s="158"/>
      <c r="C114" s="158"/>
      <c r="D114" s="158"/>
    </row>
    <row r="115" spans="1:8" ht="20.100000000000001" customHeight="1">
      <c r="A115" s="95">
        <v>6</v>
      </c>
      <c r="B115" s="50" t="s">
        <v>24</v>
      </c>
      <c r="C115" s="95" t="s">
        <v>38</v>
      </c>
      <c r="D115" s="95" t="s">
        <v>9</v>
      </c>
    </row>
    <row r="116" spans="1:8" ht="20.100000000000001" customHeight="1">
      <c r="A116" s="95" t="s">
        <v>1</v>
      </c>
      <c r="B116" s="47" t="s">
        <v>25</v>
      </c>
      <c r="C116" s="59">
        <v>1E-3</v>
      </c>
      <c r="D116" s="41">
        <f>D132*C116</f>
        <v>5.7</v>
      </c>
    </row>
    <row r="117" spans="1:8" ht="20.100000000000001" customHeight="1">
      <c r="A117" s="95" t="s">
        <v>3</v>
      </c>
      <c r="B117" s="47" t="s">
        <v>66</v>
      </c>
      <c r="C117" s="59">
        <f>'1'!C117</f>
        <v>7.7999999999999996E-3</v>
      </c>
      <c r="D117" s="41">
        <f>(D132+D116)*C117</f>
        <v>44.53</v>
      </c>
      <c r="E117" s="126"/>
    </row>
    <row r="118" spans="1:8" ht="20.100000000000001" customHeight="1">
      <c r="A118" s="95" t="s">
        <v>4</v>
      </c>
      <c r="B118" s="47" t="s">
        <v>67</v>
      </c>
      <c r="C118" s="60"/>
      <c r="D118" s="41"/>
    </row>
    <row r="119" spans="1:8" ht="20.100000000000001" customHeight="1">
      <c r="A119" s="95"/>
      <c r="B119" s="47" t="s">
        <v>88</v>
      </c>
      <c r="C119" s="61">
        <v>6.4999999999999997E-3</v>
      </c>
      <c r="D119" s="41">
        <f>ROUND((D132+D116+D117)/(1-$C$122)*C119,2)</f>
        <v>40.94</v>
      </c>
      <c r="F119" s="187"/>
    </row>
    <row r="120" spans="1:8" ht="20.100000000000001" customHeight="1">
      <c r="A120" s="95"/>
      <c r="B120" s="47" t="s">
        <v>87</v>
      </c>
      <c r="C120" s="61">
        <v>0.03</v>
      </c>
      <c r="D120" s="41">
        <f>ROUND((D132+D116+D117)/(1-$C$122)*C120,2)</f>
        <v>188.95</v>
      </c>
      <c r="F120" s="187"/>
    </row>
    <row r="121" spans="1:8" ht="20.100000000000001" customHeight="1">
      <c r="A121" s="52"/>
      <c r="B121" s="47" t="s">
        <v>86</v>
      </c>
      <c r="C121" s="61">
        <v>0.05</v>
      </c>
      <c r="D121" s="41">
        <f>ROUND((D132+D116+D117)/(1-$C$122)*C121,2)</f>
        <v>314.91000000000003</v>
      </c>
      <c r="F121" s="70" t="s">
        <v>165</v>
      </c>
      <c r="G121" s="70"/>
      <c r="H121" s="70"/>
    </row>
    <row r="122" spans="1:8" ht="20.100000000000001" customHeight="1">
      <c r="A122" s="95"/>
      <c r="B122" s="62" t="s">
        <v>80</v>
      </c>
      <c r="C122" s="60">
        <f>SUM(C119:C121)</f>
        <v>8.6499999999999994E-2</v>
      </c>
      <c r="D122" s="42">
        <f>ROUND(SUM(D119:D121),2)</f>
        <v>544.79999999999995</v>
      </c>
    </row>
    <row r="123" spans="1:8" ht="20.100000000000001" customHeight="1">
      <c r="A123" s="164" t="s">
        <v>81</v>
      </c>
      <c r="B123" s="165"/>
      <c r="C123" s="166"/>
      <c r="D123" s="42">
        <f>ROUND(D122+D116+D117,2)</f>
        <v>595.03</v>
      </c>
    </row>
    <row r="124" spans="1:8" ht="20.100000000000001" customHeight="1">
      <c r="A124" s="63"/>
      <c r="B124" s="32"/>
      <c r="C124" s="32"/>
      <c r="D124" s="32"/>
    </row>
    <row r="125" spans="1:8" ht="20.100000000000001" customHeight="1">
      <c r="A125" s="161" t="s">
        <v>68</v>
      </c>
      <c r="B125" s="161"/>
      <c r="C125" s="161"/>
      <c r="D125" s="161"/>
    </row>
    <row r="126" spans="1:8" ht="20.100000000000001" customHeight="1">
      <c r="A126" s="52"/>
      <c r="B126" s="159" t="s">
        <v>69</v>
      </c>
      <c r="C126" s="159"/>
      <c r="D126" s="95" t="s">
        <v>9</v>
      </c>
    </row>
    <row r="127" spans="1:8" ht="20.100000000000001" customHeight="1">
      <c r="A127" s="95" t="s">
        <v>1</v>
      </c>
      <c r="B127" s="155" t="s">
        <v>26</v>
      </c>
      <c r="C127" s="155"/>
      <c r="D127" s="64">
        <f>ROUND(D27,2)</f>
        <v>2371.1999999999998</v>
      </c>
      <c r="F127" s="27" t="s">
        <v>132</v>
      </c>
    </row>
    <row r="128" spans="1:8" ht="25.5">
      <c r="A128" s="95" t="s">
        <v>3</v>
      </c>
      <c r="B128" s="155" t="s">
        <v>70</v>
      </c>
      <c r="C128" s="155"/>
      <c r="D128" s="65">
        <f>ROUND(D67,2)</f>
        <v>2052.85</v>
      </c>
      <c r="F128" s="27" t="s">
        <v>133</v>
      </c>
      <c r="G128" s="2"/>
    </row>
    <row r="129" spans="1:7" ht="25.5">
      <c r="A129" s="95" t="s">
        <v>4</v>
      </c>
      <c r="B129" s="155" t="s">
        <v>52</v>
      </c>
      <c r="C129" s="155"/>
      <c r="D129" s="64">
        <f>ROUND(D77,2)</f>
        <v>175.72</v>
      </c>
      <c r="F129" s="27" t="s">
        <v>134</v>
      </c>
    </row>
    <row r="130" spans="1:7" ht="25.5">
      <c r="A130" s="95" t="s">
        <v>5</v>
      </c>
      <c r="B130" s="155" t="s">
        <v>56</v>
      </c>
      <c r="C130" s="155"/>
      <c r="D130" s="64">
        <f>ROUND(D101,2)</f>
        <v>627.97</v>
      </c>
      <c r="F130" s="27" t="s">
        <v>135</v>
      </c>
    </row>
    <row r="131" spans="1:7" ht="25.5">
      <c r="A131" s="95" t="s">
        <v>12</v>
      </c>
      <c r="B131" s="155" t="s">
        <v>71</v>
      </c>
      <c r="C131" s="155"/>
      <c r="D131" s="64">
        <f>ROUND(D112,2)</f>
        <v>475.46</v>
      </c>
      <c r="F131" s="27" t="s">
        <v>136</v>
      </c>
    </row>
    <row r="132" spans="1:7" ht="25.5">
      <c r="A132" s="159" t="s">
        <v>72</v>
      </c>
      <c r="B132" s="159"/>
      <c r="C132" s="159"/>
      <c r="D132" s="64">
        <f>ROUND(SUM(D127:D131),2)</f>
        <v>5703.2</v>
      </c>
      <c r="F132" s="27" t="s">
        <v>137</v>
      </c>
    </row>
    <row r="133" spans="1:7" ht="20.100000000000001" customHeight="1">
      <c r="A133" s="95" t="s">
        <v>13</v>
      </c>
      <c r="B133" s="155" t="s">
        <v>73</v>
      </c>
      <c r="C133" s="155"/>
      <c r="D133" s="64">
        <f>ROUND(D123,2)</f>
        <v>595.03</v>
      </c>
    </row>
    <row r="134" spans="1:7" ht="20.100000000000001" customHeight="1">
      <c r="A134" s="159" t="s">
        <v>82</v>
      </c>
      <c r="B134" s="159"/>
      <c r="C134" s="159"/>
      <c r="D134" s="64">
        <f>ROUND(D132+D133,2)</f>
        <v>6298.23</v>
      </c>
    </row>
    <row r="135" spans="1:7" ht="20.100000000000001" customHeight="1">
      <c r="A135" s="63"/>
      <c r="B135" s="32"/>
      <c r="C135" s="32"/>
      <c r="D135" s="32"/>
    </row>
    <row r="136" spans="1:7" ht="20.100000000000001" customHeight="1">
      <c r="A136" s="161" t="s">
        <v>74</v>
      </c>
      <c r="B136" s="161"/>
      <c r="C136" s="161"/>
      <c r="D136" s="161"/>
    </row>
    <row r="137" spans="1:7" ht="20.100000000000001" customHeight="1">
      <c r="A137" s="159" t="s">
        <v>75</v>
      </c>
      <c r="B137" s="159"/>
      <c r="C137" s="159"/>
      <c r="D137" s="159"/>
    </row>
    <row r="138" spans="1:7" ht="20.100000000000001" customHeight="1">
      <c r="A138" s="52"/>
      <c r="B138" s="159" t="s">
        <v>76</v>
      </c>
      <c r="C138" s="159"/>
      <c r="D138" s="95" t="s">
        <v>77</v>
      </c>
    </row>
    <row r="139" spans="1:7" ht="20.100000000000001" customHeight="1">
      <c r="A139" s="95" t="s">
        <v>1</v>
      </c>
      <c r="B139" s="155" t="s">
        <v>143</v>
      </c>
      <c r="C139" s="155"/>
      <c r="D139" s="66">
        <f>D134</f>
        <v>6298.23</v>
      </c>
      <c r="G139" s="9"/>
    </row>
    <row r="140" spans="1:7" ht="20.100000000000001" customHeight="1">
      <c r="A140" s="95" t="s">
        <v>3</v>
      </c>
      <c r="B140" s="155" t="s">
        <v>96</v>
      </c>
      <c r="C140" s="155"/>
      <c r="D140" s="67">
        <f>D14</f>
        <v>42</v>
      </c>
    </row>
    <row r="141" spans="1:7" ht="20.100000000000001" customHeight="1">
      <c r="A141" s="95" t="s">
        <v>4</v>
      </c>
      <c r="B141" s="155" t="s">
        <v>144</v>
      </c>
      <c r="C141" s="155"/>
      <c r="D141" s="68">
        <f>D139*D140</f>
        <v>264525.65999999997</v>
      </c>
    </row>
    <row r="142" spans="1:7" ht="30.75" customHeight="1">
      <c r="A142" s="95" t="s">
        <v>5</v>
      </c>
      <c r="B142" s="155" t="s">
        <v>78</v>
      </c>
      <c r="C142" s="155"/>
      <c r="D142" s="69">
        <f>D141*30</f>
        <v>7935769.7999999998</v>
      </c>
    </row>
    <row r="144" spans="1:7">
      <c r="A144" s="162"/>
      <c r="B144" s="162"/>
      <c r="C144" s="162"/>
      <c r="D144" s="162"/>
    </row>
    <row r="148" spans="1:4">
      <c r="A148" s="162"/>
      <c r="B148" s="162"/>
      <c r="C148" s="162"/>
      <c r="D148" s="162"/>
    </row>
    <row r="149" spans="1:4">
      <c r="A149" s="162"/>
      <c r="B149" s="162"/>
      <c r="C149" s="162"/>
      <c r="D149" s="162"/>
    </row>
    <row r="150" spans="1:4">
      <c r="A150" s="162"/>
      <c r="B150" s="162"/>
      <c r="C150" s="162"/>
      <c r="D150" s="162"/>
    </row>
    <row r="151" spans="1:4">
      <c r="A151" s="162"/>
      <c r="B151" s="162"/>
      <c r="C151" s="162"/>
      <c r="D151" s="162"/>
    </row>
  </sheetData>
  <mergeCells count="108">
    <mergeCell ref="A144:D144"/>
    <mergeCell ref="A148:D148"/>
    <mergeCell ref="A149:D149"/>
    <mergeCell ref="A150:D150"/>
    <mergeCell ref="A151:D151"/>
    <mergeCell ref="A137:D137"/>
    <mergeCell ref="B138:C138"/>
    <mergeCell ref="B139:C139"/>
    <mergeCell ref="B140:C140"/>
    <mergeCell ref="B141:C141"/>
    <mergeCell ref="B142:C142"/>
    <mergeCell ref="B130:C130"/>
    <mergeCell ref="B131:C131"/>
    <mergeCell ref="A132:C132"/>
    <mergeCell ref="B133:C133"/>
    <mergeCell ref="A134:C134"/>
    <mergeCell ref="A136:D136"/>
    <mergeCell ref="A123:C123"/>
    <mergeCell ref="A125:D125"/>
    <mergeCell ref="B126:C126"/>
    <mergeCell ref="B127:C127"/>
    <mergeCell ref="B128:C128"/>
    <mergeCell ref="B129:C129"/>
    <mergeCell ref="B110:C110"/>
    <mergeCell ref="B111:C111"/>
    <mergeCell ref="A112:C112"/>
    <mergeCell ref="A113:C113"/>
    <mergeCell ref="A114:D114"/>
    <mergeCell ref="F119:F120"/>
    <mergeCell ref="B104:C104"/>
    <mergeCell ref="B105:C105"/>
    <mergeCell ref="B106:C106"/>
    <mergeCell ref="B107:C107"/>
    <mergeCell ref="B108:C108"/>
    <mergeCell ref="B109:C109"/>
    <mergeCell ref="A97:D97"/>
    <mergeCell ref="B98:C98"/>
    <mergeCell ref="B99:C99"/>
    <mergeCell ref="B100:C100"/>
    <mergeCell ref="A101:C101"/>
    <mergeCell ref="A103:D103"/>
    <mergeCell ref="F87:K87"/>
    <mergeCell ref="F88:H88"/>
    <mergeCell ref="F89:K89"/>
    <mergeCell ref="A90:B90"/>
    <mergeCell ref="A92:D92"/>
    <mergeCell ref="A95:C95"/>
    <mergeCell ref="A79:D79"/>
    <mergeCell ref="A81:D81"/>
    <mergeCell ref="F83:H83"/>
    <mergeCell ref="F84:H84"/>
    <mergeCell ref="F85:K85"/>
    <mergeCell ref="F86:K86"/>
    <mergeCell ref="F72:H72"/>
    <mergeCell ref="F73:K73"/>
    <mergeCell ref="F74:K74"/>
    <mergeCell ref="F75:H75"/>
    <mergeCell ref="F76:H76"/>
    <mergeCell ref="A77:B77"/>
    <mergeCell ref="B64:C64"/>
    <mergeCell ref="B65:C65"/>
    <mergeCell ref="B66:C66"/>
    <mergeCell ref="A67:C67"/>
    <mergeCell ref="A69:D69"/>
    <mergeCell ref="F71:K71"/>
    <mergeCell ref="B57:C57"/>
    <mergeCell ref="B58:C58"/>
    <mergeCell ref="B59:C59"/>
    <mergeCell ref="A60:C60"/>
    <mergeCell ref="A62:D62"/>
    <mergeCell ref="B63:C63"/>
    <mergeCell ref="A51:D51"/>
    <mergeCell ref="B52:C52"/>
    <mergeCell ref="B53:C53"/>
    <mergeCell ref="B54:C54"/>
    <mergeCell ref="B55:C55"/>
    <mergeCell ref="B56:C56"/>
    <mergeCell ref="A27:C27"/>
    <mergeCell ref="A29:D29"/>
    <mergeCell ref="A31:D31"/>
    <mergeCell ref="A37:B37"/>
    <mergeCell ref="A39:D39"/>
    <mergeCell ref="A49:B49"/>
    <mergeCell ref="B21:C21"/>
    <mergeCell ref="B22:C22"/>
    <mergeCell ref="B23:C23"/>
    <mergeCell ref="B24:C24"/>
    <mergeCell ref="B25:C25"/>
    <mergeCell ref="B26:C26"/>
    <mergeCell ref="D14:D15"/>
    <mergeCell ref="A16:C16"/>
    <mergeCell ref="A17:C17"/>
    <mergeCell ref="A18:C18"/>
    <mergeCell ref="A19:D19"/>
    <mergeCell ref="B20:C20"/>
    <mergeCell ref="B8:C8"/>
    <mergeCell ref="B9:C9"/>
    <mergeCell ref="B10:C10"/>
    <mergeCell ref="B11:C11"/>
    <mergeCell ref="A13:B13"/>
    <mergeCell ref="A14:B15"/>
    <mergeCell ref="C14:C15"/>
    <mergeCell ref="A1:D1"/>
    <mergeCell ref="A2:D2"/>
    <mergeCell ref="A3:D3"/>
    <mergeCell ref="A4:D4"/>
    <mergeCell ref="B5:D5"/>
    <mergeCell ref="A7:D7"/>
  </mergeCells>
  <printOptions horizontalCentered="1"/>
  <pageMargins left="0.39370078740157483" right="0.39370078740157483" top="1.9685039370078741" bottom="0.78740157480314965" header="0" footer="0"/>
  <pageSetup paperSize="9" scale="80" fitToHeight="0" orientation="portrait" r:id="rId1"/>
  <rowBreaks count="1" manualBreakCount="1">
    <brk id="67" max="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1"/>
  <sheetViews>
    <sheetView topLeftCell="C13" zoomScale="70" zoomScaleNormal="70" zoomScaleSheetLayoutView="110" workbookViewId="0">
      <selection activeCell="D143" sqref="D143"/>
    </sheetView>
  </sheetViews>
  <sheetFormatPr defaultColWidth="9.140625" defaultRowHeight="12.75"/>
  <cols>
    <col min="1" max="1" width="6" style="100" customWidth="1"/>
    <col min="2" max="2" width="62.7109375" style="1" customWidth="1"/>
    <col min="3" max="3" width="18.5703125" style="1" customWidth="1"/>
    <col min="4" max="4" width="30.7109375" style="1" customWidth="1"/>
    <col min="5" max="5" width="17.42578125" style="1" customWidth="1"/>
    <col min="6" max="6" width="102.42578125" style="1" customWidth="1"/>
    <col min="7" max="7" width="10.5703125" style="1" customWidth="1"/>
    <col min="8" max="8" width="43.85546875" style="1" customWidth="1"/>
    <col min="9" max="10" width="9.140625" style="1"/>
    <col min="11" max="11" width="11" style="1" customWidth="1"/>
    <col min="12" max="16384" width="9.140625" style="1"/>
  </cols>
  <sheetData>
    <row r="1" spans="1:4">
      <c r="A1" s="173" t="s">
        <v>93</v>
      </c>
      <c r="B1" s="173"/>
      <c r="C1" s="173"/>
      <c r="D1" s="173"/>
    </row>
    <row r="2" spans="1:4" ht="4.5" customHeight="1">
      <c r="A2" s="173"/>
      <c r="B2" s="173"/>
      <c r="C2" s="173"/>
      <c r="D2" s="173"/>
    </row>
    <row r="3" spans="1:4" ht="20.100000000000001" customHeight="1">
      <c r="A3" s="181" t="s">
        <v>315</v>
      </c>
      <c r="B3" s="179"/>
      <c r="C3" s="179"/>
      <c r="D3" s="180"/>
    </row>
    <row r="4" spans="1:4" ht="20.100000000000001" customHeight="1">
      <c r="A4" s="181" t="s">
        <v>316</v>
      </c>
      <c r="B4" s="179"/>
      <c r="C4" s="179"/>
      <c r="D4" s="180"/>
    </row>
    <row r="5" spans="1:4" ht="20.100000000000001" customHeight="1">
      <c r="A5" s="28"/>
      <c r="B5" s="178"/>
      <c r="C5" s="179"/>
      <c r="D5" s="180"/>
    </row>
    <row r="6" spans="1:4" ht="20.100000000000001" customHeight="1">
      <c r="A6" s="29"/>
      <c r="B6" s="30"/>
      <c r="C6" s="31"/>
      <c r="D6" s="32"/>
    </row>
    <row r="7" spans="1:4" ht="20.100000000000001" customHeight="1">
      <c r="A7" s="174" t="s">
        <v>0</v>
      </c>
      <c r="B7" s="175"/>
      <c r="C7" s="175"/>
      <c r="D7" s="176"/>
    </row>
    <row r="8" spans="1:4" ht="20.100000000000001" customHeight="1">
      <c r="A8" s="96" t="s">
        <v>1</v>
      </c>
      <c r="B8" s="177" t="s">
        <v>2</v>
      </c>
      <c r="C8" s="177"/>
      <c r="D8" s="34">
        <v>45783</v>
      </c>
    </row>
    <row r="9" spans="1:4" ht="30" customHeight="1">
      <c r="A9" s="96" t="s">
        <v>3</v>
      </c>
      <c r="B9" s="177" t="s">
        <v>159</v>
      </c>
      <c r="C9" s="177"/>
      <c r="D9" s="94" t="s">
        <v>317</v>
      </c>
    </row>
    <row r="10" spans="1:4" ht="20.100000000000001" customHeight="1">
      <c r="A10" s="96" t="s">
        <v>4</v>
      </c>
      <c r="B10" s="177" t="s">
        <v>142</v>
      </c>
      <c r="C10" s="177"/>
      <c r="D10" s="36" t="str">
        <f>VLOOKUP(A14,'Entrada de dados'!$A$1:$N$8,2,FALSE)</f>
        <v>PR000074/2025</v>
      </c>
    </row>
    <row r="11" spans="1:4" ht="20.100000000000001" customHeight="1">
      <c r="A11" s="96" t="s">
        <v>5</v>
      </c>
      <c r="B11" s="177" t="s">
        <v>6</v>
      </c>
      <c r="C11" s="177"/>
      <c r="D11" s="37">
        <v>30</v>
      </c>
    </row>
    <row r="12" spans="1:4" ht="20.100000000000001" customHeight="1">
      <c r="A12" s="31"/>
      <c r="B12" s="38"/>
      <c r="C12" s="31"/>
      <c r="D12" s="32"/>
    </row>
    <row r="13" spans="1:4" ht="27" customHeight="1">
      <c r="A13" s="156" t="s">
        <v>91</v>
      </c>
      <c r="B13" s="156"/>
      <c r="C13" s="94" t="s">
        <v>90</v>
      </c>
      <c r="D13" s="94" t="s">
        <v>100</v>
      </c>
    </row>
    <row r="14" spans="1:4" ht="20.100000000000001" customHeight="1">
      <c r="A14" s="182" t="str">
        <f>'Quadro Resumo'!D9</f>
        <v>SERVENTE DE LIMPEZA</v>
      </c>
      <c r="B14" s="183"/>
      <c r="C14" s="169" t="s">
        <v>92</v>
      </c>
      <c r="D14" s="171">
        <f>VLOOKUP(A14,'Quadro Resumo'!D3:G13,4,FALSE)</f>
        <v>42</v>
      </c>
    </row>
    <row r="15" spans="1:4" ht="20.100000000000001" customHeight="1">
      <c r="A15" s="184"/>
      <c r="B15" s="185"/>
      <c r="C15" s="170"/>
      <c r="D15" s="172"/>
    </row>
    <row r="16" spans="1:4" ht="20.100000000000001" customHeight="1">
      <c r="A16" s="152" t="s">
        <v>174</v>
      </c>
      <c r="B16" s="153"/>
      <c r="C16" s="154"/>
      <c r="D16" s="93">
        <v>44</v>
      </c>
    </row>
    <row r="17" spans="1:6" ht="20.100000000000001" customHeight="1">
      <c r="A17" s="152" t="s">
        <v>160</v>
      </c>
      <c r="B17" s="153"/>
      <c r="C17" s="154"/>
      <c r="D17" s="79">
        <v>45689</v>
      </c>
    </row>
    <row r="18" spans="1:6" ht="20.100000000000001" customHeight="1">
      <c r="A18" s="190"/>
      <c r="B18" s="190"/>
      <c r="C18" s="190"/>
      <c r="D18" s="39"/>
    </row>
    <row r="19" spans="1:6" ht="20.100000000000001" customHeight="1">
      <c r="A19" s="158" t="s">
        <v>7</v>
      </c>
      <c r="B19" s="158"/>
      <c r="C19" s="158"/>
      <c r="D19" s="158"/>
    </row>
    <row r="20" spans="1:6" ht="20.100000000000001" customHeight="1">
      <c r="A20" s="40">
        <v>1</v>
      </c>
      <c r="B20" s="156" t="s">
        <v>8</v>
      </c>
      <c r="C20" s="156"/>
      <c r="D20" s="40" t="s">
        <v>9</v>
      </c>
    </row>
    <row r="21" spans="1:6" ht="20.100000000000001" customHeight="1">
      <c r="A21" s="94" t="s">
        <v>1</v>
      </c>
      <c r="B21" s="160" t="s">
        <v>10</v>
      </c>
      <c r="C21" s="160"/>
      <c r="D21" s="41">
        <f>VLOOKUP(A14,'Entrada de dados'!A2:H8,3,FALSE)/44*'10'!D16</f>
        <v>1764</v>
      </c>
      <c r="F21" s="26" t="s">
        <v>138</v>
      </c>
    </row>
    <row r="22" spans="1:6" ht="20.100000000000001" customHeight="1">
      <c r="A22" s="94" t="s">
        <v>3</v>
      </c>
      <c r="B22" s="160" t="s">
        <v>99</v>
      </c>
      <c r="C22" s="160"/>
      <c r="D22" s="41"/>
      <c r="F22" s="26" t="s">
        <v>161</v>
      </c>
    </row>
    <row r="23" spans="1:6" ht="20.100000000000001" customHeight="1">
      <c r="A23" s="94" t="s">
        <v>4</v>
      </c>
      <c r="B23" s="160" t="s">
        <v>98</v>
      </c>
      <c r="C23" s="160"/>
      <c r="D23" s="41">
        <f>'Entrada de dados'!C8*40%</f>
        <v>607.20000000000005</v>
      </c>
      <c r="F23" s="71" t="s">
        <v>166</v>
      </c>
    </row>
    <row r="24" spans="1:6" ht="20.100000000000001" customHeight="1">
      <c r="A24" s="94" t="s">
        <v>5</v>
      </c>
      <c r="B24" s="160" t="s">
        <v>11</v>
      </c>
      <c r="C24" s="160"/>
      <c r="D24" s="41">
        <f>(D21+D23)/220*0.2*7*15</f>
        <v>226.34</v>
      </c>
      <c r="F24" s="26" t="s">
        <v>161</v>
      </c>
    </row>
    <row r="25" spans="1:6" ht="20.100000000000001" customHeight="1">
      <c r="A25" s="94" t="s">
        <v>12</v>
      </c>
      <c r="B25" s="160" t="s">
        <v>29</v>
      </c>
      <c r="C25" s="160"/>
      <c r="D25" s="41">
        <f>(D21+D23)/220*1.2*(((7*15)/52.5)*60-(7*15))</f>
        <v>194.01</v>
      </c>
      <c r="F25" s="26" t="s">
        <v>161</v>
      </c>
    </row>
    <row r="26" spans="1:6" ht="20.100000000000001" customHeight="1">
      <c r="A26" s="94" t="s">
        <v>13</v>
      </c>
      <c r="B26" s="160" t="s">
        <v>319</v>
      </c>
      <c r="C26" s="160"/>
      <c r="D26" s="41">
        <v>0</v>
      </c>
      <c r="F26" s="26" t="s">
        <v>161</v>
      </c>
    </row>
    <row r="27" spans="1:6" ht="20.100000000000001" customHeight="1">
      <c r="A27" s="156" t="s">
        <v>16</v>
      </c>
      <c r="B27" s="156"/>
      <c r="C27" s="156"/>
      <c r="D27" s="42">
        <f>SUM(D21:D26)</f>
        <v>2791.55</v>
      </c>
    </row>
    <row r="28" spans="1:6" ht="20.100000000000001" customHeight="1">
      <c r="A28" s="31"/>
      <c r="B28" s="38"/>
      <c r="C28" s="31"/>
      <c r="D28" s="43"/>
    </row>
    <row r="29" spans="1:6" ht="20.100000000000001" customHeight="1">
      <c r="A29" s="191" t="s">
        <v>30</v>
      </c>
      <c r="B29" s="191"/>
      <c r="C29" s="191"/>
      <c r="D29" s="191"/>
    </row>
    <row r="30" spans="1:6" ht="20.100000000000001" customHeight="1">
      <c r="A30" s="97"/>
      <c r="B30" s="99"/>
      <c r="C30" s="99"/>
      <c r="D30" s="43"/>
    </row>
    <row r="31" spans="1:6" ht="20.100000000000001" customHeight="1">
      <c r="A31" s="158" t="s">
        <v>31</v>
      </c>
      <c r="B31" s="158"/>
      <c r="C31" s="158"/>
      <c r="D31" s="158"/>
    </row>
    <row r="32" spans="1:6" ht="20.100000000000001" customHeight="1">
      <c r="A32" s="96" t="s">
        <v>32</v>
      </c>
      <c r="B32" s="96" t="s">
        <v>102</v>
      </c>
      <c r="C32" s="95" t="s">
        <v>38</v>
      </c>
      <c r="D32" s="96" t="s">
        <v>9</v>
      </c>
    </row>
    <row r="33" spans="1:13" ht="20.100000000000001" customHeight="1">
      <c r="A33" s="96" t="s">
        <v>1</v>
      </c>
      <c r="B33" s="47" t="s">
        <v>27</v>
      </c>
      <c r="C33" s="48">
        <v>8.3299999999999999E-2</v>
      </c>
      <c r="D33" s="49">
        <f>ROUND($D$27*C33,2)</f>
        <v>232.54</v>
      </c>
      <c r="F33" s="1" t="s">
        <v>113</v>
      </c>
    </row>
    <row r="34" spans="1:13" ht="20.100000000000001" customHeight="1">
      <c r="A34" s="96" t="s">
        <v>3</v>
      </c>
      <c r="B34" s="47" t="s">
        <v>184</v>
      </c>
      <c r="C34" s="48">
        <v>2.7799999999999998E-2</v>
      </c>
      <c r="D34" s="49">
        <f>ROUND($D$27*C34,2)</f>
        <v>77.61</v>
      </c>
      <c r="F34" s="25" t="s">
        <v>164</v>
      </c>
    </row>
    <row r="35" spans="1:13" ht="20.100000000000001" customHeight="1">
      <c r="A35" s="96" t="s">
        <v>4</v>
      </c>
      <c r="B35" s="50" t="s">
        <v>94</v>
      </c>
      <c r="C35" s="51">
        <f>SUM(C33:C34)</f>
        <v>0.1111</v>
      </c>
      <c r="D35" s="42">
        <f>SUM(D33:D34)</f>
        <v>310.14999999999998</v>
      </c>
    </row>
    <row r="36" spans="1:13" ht="20.100000000000001" customHeight="1">
      <c r="A36" s="96" t="s">
        <v>5</v>
      </c>
      <c r="B36" s="47" t="s">
        <v>95</v>
      </c>
      <c r="C36" s="48">
        <f>C35*C49</f>
        <v>0.04</v>
      </c>
      <c r="D36" s="49">
        <f>ROUND($D$27*C36,2)</f>
        <v>111.66</v>
      </c>
    </row>
    <row r="37" spans="1:13" ht="20.100000000000001" customHeight="1">
      <c r="A37" s="158" t="s">
        <v>34</v>
      </c>
      <c r="B37" s="158"/>
      <c r="C37" s="51">
        <f>SUM(C35:C36)</f>
        <v>0.15110000000000001</v>
      </c>
      <c r="D37" s="42">
        <f>SUM(D35:D36)</f>
        <v>421.81</v>
      </c>
      <c r="M37" s="5"/>
    </row>
    <row r="38" spans="1:13" ht="20.100000000000001" customHeight="1">
      <c r="A38" s="97"/>
      <c r="B38" s="97"/>
      <c r="C38" s="97"/>
      <c r="D38" s="43"/>
    </row>
    <row r="39" spans="1:13" ht="33" customHeight="1">
      <c r="A39" s="159" t="s">
        <v>35</v>
      </c>
      <c r="B39" s="159"/>
      <c r="C39" s="159"/>
      <c r="D39" s="159"/>
    </row>
    <row r="40" spans="1:13" ht="33.75" customHeight="1">
      <c r="A40" s="95" t="s">
        <v>36</v>
      </c>
      <c r="B40" s="50" t="s">
        <v>37</v>
      </c>
      <c r="C40" s="95" t="s">
        <v>38</v>
      </c>
      <c r="D40" s="95" t="s">
        <v>9</v>
      </c>
      <c r="E40" s="2"/>
    </row>
    <row r="41" spans="1:13" ht="20.100000000000001" customHeight="1">
      <c r="A41" s="52" t="s">
        <v>1</v>
      </c>
      <c r="B41" s="47" t="s">
        <v>39</v>
      </c>
      <c r="C41" s="48">
        <v>0.2</v>
      </c>
      <c r="D41" s="49">
        <f t="shared" ref="D41:D48" si="0">ROUND($D$27*C41,2)</f>
        <v>558.30999999999995</v>
      </c>
      <c r="F41" s="72" t="s">
        <v>114</v>
      </c>
    </row>
    <row r="42" spans="1:13" ht="20.100000000000001" customHeight="1">
      <c r="A42" s="52" t="s">
        <v>3</v>
      </c>
      <c r="B42" s="47" t="s">
        <v>40</v>
      </c>
      <c r="C42" s="48">
        <v>2.5000000000000001E-2</v>
      </c>
      <c r="D42" s="49">
        <f t="shared" si="0"/>
        <v>69.790000000000006</v>
      </c>
      <c r="F42" s="72" t="s">
        <v>115</v>
      </c>
    </row>
    <row r="43" spans="1:13" ht="20.100000000000001" customHeight="1">
      <c r="A43" s="52" t="s">
        <v>4</v>
      </c>
      <c r="B43" s="47" t="s">
        <v>41</v>
      </c>
      <c r="C43" s="48">
        <f>2%*1.0942</f>
        <v>2.1899999999999999E-2</v>
      </c>
      <c r="D43" s="49">
        <f t="shared" si="0"/>
        <v>61.13</v>
      </c>
      <c r="F43" s="72" t="s">
        <v>116</v>
      </c>
    </row>
    <row r="44" spans="1:13" ht="20.100000000000001" customHeight="1">
      <c r="A44" s="52" t="s">
        <v>5</v>
      </c>
      <c r="B44" s="47" t="s">
        <v>42</v>
      </c>
      <c r="C44" s="48">
        <v>1.4999999999999999E-2</v>
      </c>
      <c r="D44" s="49">
        <f t="shared" si="0"/>
        <v>41.87</v>
      </c>
      <c r="F44" s="72" t="s">
        <v>117</v>
      </c>
    </row>
    <row r="45" spans="1:13" ht="20.100000000000001" customHeight="1">
      <c r="A45" s="52" t="s">
        <v>12</v>
      </c>
      <c r="B45" s="47" t="s">
        <v>43</v>
      </c>
      <c r="C45" s="48">
        <v>0.01</v>
      </c>
      <c r="D45" s="49">
        <f t="shared" si="0"/>
        <v>27.92</v>
      </c>
      <c r="F45" s="72" t="s">
        <v>118</v>
      </c>
    </row>
    <row r="46" spans="1:13" ht="20.100000000000001" customHeight="1">
      <c r="A46" s="52" t="s">
        <v>13</v>
      </c>
      <c r="B46" s="47" t="s">
        <v>44</v>
      </c>
      <c r="C46" s="48">
        <v>6.0000000000000001E-3</v>
      </c>
      <c r="D46" s="49">
        <f t="shared" si="0"/>
        <v>16.75</v>
      </c>
      <c r="F46" s="72" t="s">
        <v>119</v>
      </c>
    </row>
    <row r="47" spans="1:13" ht="20.100000000000001" customHeight="1">
      <c r="A47" s="52" t="s">
        <v>14</v>
      </c>
      <c r="B47" s="47" t="s">
        <v>45</v>
      </c>
      <c r="C47" s="48">
        <v>2E-3</v>
      </c>
      <c r="D47" s="49">
        <f t="shared" si="0"/>
        <v>5.58</v>
      </c>
      <c r="F47" s="72" t="s">
        <v>120</v>
      </c>
    </row>
    <row r="48" spans="1:13" ht="20.100000000000001" customHeight="1">
      <c r="A48" s="52" t="s">
        <v>15</v>
      </c>
      <c r="B48" s="47" t="s">
        <v>46</v>
      </c>
      <c r="C48" s="48">
        <v>0.08</v>
      </c>
      <c r="D48" s="49">
        <f t="shared" si="0"/>
        <v>223.32</v>
      </c>
      <c r="F48" s="72" t="s">
        <v>121</v>
      </c>
    </row>
    <row r="49" spans="1:13" ht="20.100000000000001" customHeight="1">
      <c r="A49" s="159" t="s">
        <v>22</v>
      </c>
      <c r="B49" s="159"/>
      <c r="C49" s="51">
        <f>ROUND(SUM(C41:C48),4)</f>
        <v>0.3599</v>
      </c>
      <c r="D49" s="42">
        <f>ROUND(SUM(D41:D48),2)</f>
        <v>1004.67</v>
      </c>
      <c r="F49" s="25" t="s">
        <v>122</v>
      </c>
      <c r="M49" s="5"/>
    </row>
    <row r="50" spans="1:13" ht="20.100000000000001" customHeight="1">
      <c r="A50" s="97"/>
      <c r="B50" s="97"/>
      <c r="C50" s="97"/>
      <c r="D50" s="43"/>
    </row>
    <row r="51" spans="1:13" ht="20.100000000000001" customHeight="1">
      <c r="A51" s="161" t="s">
        <v>47</v>
      </c>
      <c r="B51" s="161"/>
      <c r="C51" s="161"/>
      <c r="D51" s="161"/>
    </row>
    <row r="52" spans="1:13" ht="20.100000000000001" customHeight="1">
      <c r="A52" s="94" t="s">
        <v>48</v>
      </c>
      <c r="B52" s="156" t="s">
        <v>17</v>
      </c>
      <c r="C52" s="156"/>
      <c r="D52" s="94" t="s">
        <v>9</v>
      </c>
      <c r="F52" s="14" t="s">
        <v>104</v>
      </c>
      <c r="G52" s="8"/>
      <c r="K52" s="5"/>
    </row>
    <row r="53" spans="1:13" ht="20.100000000000001" customHeight="1">
      <c r="A53" s="94" t="s">
        <v>1</v>
      </c>
      <c r="B53" s="155" t="s">
        <v>101</v>
      </c>
      <c r="C53" s="155"/>
      <c r="D53" s="41">
        <f>IF(((F55*2*F53)-(D21*0.06))&lt;0,0,((F55*2*F53)-(D21*0.06)))</f>
        <v>0</v>
      </c>
      <c r="F53" s="16">
        <v>15</v>
      </c>
      <c r="G53" s="8"/>
      <c r="H53" s="26" t="s">
        <v>163</v>
      </c>
      <c r="K53" s="5"/>
    </row>
    <row r="54" spans="1:13" ht="20.100000000000001" customHeight="1">
      <c r="A54" s="94" t="s">
        <v>3</v>
      </c>
      <c r="B54" s="157" t="s">
        <v>112</v>
      </c>
      <c r="C54" s="157"/>
      <c r="D54" s="41">
        <f>F57*1*(1-F59)</f>
        <v>644</v>
      </c>
      <c r="F54" s="14" t="s">
        <v>145</v>
      </c>
      <c r="G54" s="8"/>
      <c r="H54" s="26" t="s">
        <v>163</v>
      </c>
      <c r="K54" s="5"/>
    </row>
    <row r="55" spans="1:13" ht="20.100000000000001" customHeight="1">
      <c r="A55" s="94" t="s">
        <v>4</v>
      </c>
      <c r="B55" s="155" t="s">
        <v>175</v>
      </c>
      <c r="C55" s="155"/>
      <c r="D55" s="41">
        <f>VLOOKUP(A14,'Entrada de dados'!A2:H8,5,FALSE)</f>
        <v>28</v>
      </c>
      <c r="F55" s="15">
        <v>0</v>
      </c>
      <c r="G55" s="8"/>
      <c r="H55" s="26" t="s">
        <v>320</v>
      </c>
      <c r="K55" s="5"/>
    </row>
    <row r="56" spans="1:13" ht="20.100000000000001" customHeight="1">
      <c r="A56" s="94" t="s">
        <v>5</v>
      </c>
      <c r="B56" s="155" t="s">
        <v>176</v>
      </c>
      <c r="C56" s="155"/>
      <c r="D56" s="41">
        <f>VLOOKUP(A14,'Entrada de dados'!A2:H8,6,FALSE)</f>
        <v>28</v>
      </c>
      <c r="F56" s="14" t="s">
        <v>105</v>
      </c>
      <c r="G56" s="8"/>
      <c r="H56" s="26" t="s">
        <v>163</v>
      </c>
      <c r="K56" s="5"/>
    </row>
    <row r="57" spans="1:13" ht="20.100000000000001" customHeight="1">
      <c r="A57" s="98" t="s">
        <v>49</v>
      </c>
      <c r="B57" s="155" t="s">
        <v>177</v>
      </c>
      <c r="C57" s="155"/>
      <c r="D57" s="41">
        <f>VLOOKUP(A14,'Entrada de dados'!A2:H8,7,FALSE)</f>
        <v>87.5</v>
      </c>
      <c r="F57" s="15">
        <f>VLOOKUP(A14,'Entrada de dados'!A2:H8,4,FALSE)</f>
        <v>805</v>
      </c>
      <c r="G57" s="8"/>
      <c r="H57" s="26" t="s">
        <v>163</v>
      </c>
      <c r="K57" s="5"/>
    </row>
    <row r="58" spans="1:13" ht="20.100000000000001" customHeight="1">
      <c r="A58" s="98" t="s">
        <v>13</v>
      </c>
      <c r="B58" s="157" t="s">
        <v>178</v>
      </c>
      <c r="C58" s="157"/>
      <c r="D58" s="41">
        <f>VLOOKUP(A14,'Entrada de dados'!A2:H8,8,FALSE)*0.8</f>
        <v>53.66</v>
      </c>
      <c r="F58" s="14" t="s">
        <v>106</v>
      </c>
      <c r="G58" s="8"/>
      <c r="H58" s="26" t="s">
        <v>163</v>
      </c>
      <c r="K58" s="5"/>
    </row>
    <row r="59" spans="1:13" ht="20.100000000000001" customHeight="1">
      <c r="A59" s="98" t="s">
        <v>14</v>
      </c>
      <c r="B59" s="157" t="s">
        <v>179</v>
      </c>
      <c r="C59" s="157"/>
      <c r="D59" s="41">
        <v>0</v>
      </c>
      <c r="F59" s="10">
        <v>0.2</v>
      </c>
      <c r="G59" s="8"/>
      <c r="H59" s="26" t="s">
        <v>163</v>
      </c>
      <c r="K59" s="5"/>
    </row>
    <row r="60" spans="1:13" ht="20.100000000000001" customHeight="1">
      <c r="A60" s="158" t="s">
        <v>18</v>
      </c>
      <c r="B60" s="158"/>
      <c r="C60" s="158"/>
      <c r="D60" s="54">
        <f>ROUND(SUM(D53:D59),2)</f>
        <v>841.16</v>
      </c>
      <c r="F60" s="9"/>
      <c r="G60" s="8"/>
      <c r="K60" s="5"/>
    </row>
    <row r="61" spans="1:13" ht="20.100000000000001" customHeight="1">
      <c r="A61" s="31"/>
      <c r="B61" s="38"/>
      <c r="C61" s="31"/>
      <c r="D61" s="43"/>
      <c r="F61" s="9"/>
      <c r="G61" s="8"/>
      <c r="K61" s="5"/>
    </row>
    <row r="62" spans="1:13" ht="20.100000000000001" customHeight="1">
      <c r="A62" s="158" t="s">
        <v>50</v>
      </c>
      <c r="B62" s="158"/>
      <c r="C62" s="158"/>
      <c r="D62" s="158"/>
      <c r="F62" s="9"/>
      <c r="G62" s="8"/>
      <c r="K62" s="5"/>
    </row>
    <row r="63" spans="1:13" ht="20.100000000000001" customHeight="1">
      <c r="A63" s="95">
        <v>2</v>
      </c>
      <c r="B63" s="159" t="s">
        <v>51</v>
      </c>
      <c r="C63" s="159"/>
      <c r="D63" s="95" t="s">
        <v>9</v>
      </c>
      <c r="F63" s="9"/>
      <c r="G63" s="8"/>
      <c r="K63" s="5"/>
    </row>
    <row r="64" spans="1:13" ht="20.100000000000001" customHeight="1">
      <c r="A64" s="95" t="s">
        <v>32</v>
      </c>
      <c r="B64" s="155" t="s">
        <v>33</v>
      </c>
      <c r="C64" s="155"/>
      <c r="D64" s="49">
        <f>ROUND(D37,2)</f>
        <v>421.81</v>
      </c>
      <c r="F64" s="9"/>
      <c r="G64" s="8"/>
      <c r="K64" s="5"/>
    </row>
    <row r="65" spans="1:13" ht="20.100000000000001" customHeight="1">
      <c r="A65" s="95" t="s">
        <v>36</v>
      </c>
      <c r="B65" s="155" t="s">
        <v>37</v>
      </c>
      <c r="C65" s="155"/>
      <c r="D65" s="49">
        <f>ROUND(D49,2)</f>
        <v>1004.67</v>
      </c>
      <c r="F65" s="9"/>
      <c r="G65" s="8"/>
      <c r="K65" s="5"/>
    </row>
    <row r="66" spans="1:13" ht="20.100000000000001" customHeight="1">
      <c r="A66" s="95" t="s">
        <v>48</v>
      </c>
      <c r="B66" s="155" t="s">
        <v>17</v>
      </c>
      <c r="C66" s="155"/>
      <c r="D66" s="49">
        <f>ROUND(D60,2)</f>
        <v>841.16</v>
      </c>
      <c r="F66" s="9"/>
      <c r="G66" s="8"/>
      <c r="K66" s="5"/>
    </row>
    <row r="67" spans="1:13" ht="20.100000000000001" customHeight="1">
      <c r="A67" s="159" t="s">
        <v>22</v>
      </c>
      <c r="B67" s="159"/>
      <c r="C67" s="159"/>
      <c r="D67" s="42">
        <f>ROUND(SUM(D64:D66),2)</f>
        <v>2267.64</v>
      </c>
      <c r="F67" s="9"/>
      <c r="G67" s="8"/>
      <c r="K67" s="5"/>
    </row>
    <row r="68" spans="1:13" ht="20.100000000000001" customHeight="1">
      <c r="A68" s="31"/>
      <c r="B68" s="38"/>
      <c r="C68" s="31"/>
      <c r="D68" s="43"/>
      <c r="F68" s="9"/>
      <c r="G68" s="8"/>
      <c r="K68" s="5"/>
    </row>
    <row r="69" spans="1:13" ht="20.100000000000001" customHeight="1">
      <c r="A69" s="161" t="s">
        <v>52</v>
      </c>
      <c r="B69" s="161"/>
      <c r="C69" s="161"/>
      <c r="D69" s="161"/>
      <c r="F69" s="9"/>
      <c r="G69" s="8"/>
      <c r="K69" s="5"/>
    </row>
    <row r="70" spans="1:13" ht="20.100000000000001" customHeight="1">
      <c r="A70" s="95">
        <v>3</v>
      </c>
      <c r="B70" s="50" t="s">
        <v>23</v>
      </c>
      <c r="C70" s="95" t="s">
        <v>38</v>
      </c>
      <c r="D70" s="95" t="s">
        <v>9</v>
      </c>
      <c r="F70" s="9"/>
      <c r="G70" s="8"/>
      <c r="K70" s="5"/>
    </row>
    <row r="71" spans="1:13" ht="20.100000000000001" customHeight="1">
      <c r="A71" s="95" t="s">
        <v>1</v>
      </c>
      <c r="B71" s="47" t="s">
        <v>53</v>
      </c>
      <c r="C71" s="55">
        <f>1/12*0.05</f>
        <v>4.1999999999999997E-3</v>
      </c>
      <c r="D71" s="49">
        <f>ROUND(($D$27+$D$94)*C71,2)</f>
        <v>12.92</v>
      </c>
      <c r="F71" s="188" t="s">
        <v>123</v>
      </c>
      <c r="G71" s="188"/>
      <c r="H71" s="188"/>
      <c r="I71" s="188"/>
      <c r="J71" s="188"/>
      <c r="K71" s="188"/>
    </row>
    <row r="72" spans="1:13" ht="20.100000000000001" customHeight="1">
      <c r="A72" s="95" t="s">
        <v>3</v>
      </c>
      <c r="B72" s="47" t="s">
        <v>54</v>
      </c>
      <c r="C72" s="56">
        <f>C71*C48</f>
        <v>3.3599999999999998E-4</v>
      </c>
      <c r="D72" s="49">
        <f>ROUND(($D$27+$D$94)*C72,2)</f>
        <v>1.03</v>
      </c>
      <c r="F72" s="188" t="s">
        <v>124</v>
      </c>
      <c r="G72" s="188"/>
      <c r="H72" s="188"/>
      <c r="K72" s="73"/>
    </row>
    <row r="73" spans="1:13" ht="19.5" customHeight="1">
      <c r="A73" s="95" t="s">
        <v>4</v>
      </c>
      <c r="B73" s="47" t="s">
        <v>108</v>
      </c>
      <c r="C73" s="55">
        <v>6.4999999999999997E-3</v>
      </c>
      <c r="D73" s="49">
        <f>ROUND($D$27*C73,2)</f>
        <v>18.149999999999999</v>
      </c>
      <c r="F73" s="188" t="s">
        <v>125</v>
      </c>
      <c r="G73" s="188"/>
      <c r="H73" s="188"/>
      <c r="I73" s="188"/>
      <c r="J73" s="188"/>
      <c r="K73" s="188"/>
    </row>
    <row r="74" spans="1:13" ht="20.100000000000001" customHeight="1">
      <c r="A74" s="95" t="s">
        <v>5</v>
      </c>
      <c r="B74" s="47" t="s">
        <v>97</v>
      </c>
      <c r="C74" s="55">
        <f>7/30/12</f>
        <v>1.9400000000000001E-2</v>
      </c>
      <c r="D74" s="49">
        <f>ROUND(($D$27+$D$94)*C74,2)</f>
        <v>59.69</v>
      </c>
      <c r="F74" s="188" t="s">
        <v>126</v>
      </c>
      <c r="G74" s="188"/>
      <c r="H74" s="188"/>
      <c r="I74" s="188"/>
      <c r="J74" s="188"/>
      <c r="K74" s="188"/>
    </row>
    <row r="75" spans="1:13" ht="32.25" customHeight="1">
      <c r="A75" s="95" t="s">
        <v>12</v>
      </c>
      <c r="B75" s="47" t="s">
        <v>55</v>
      </c>
      <c r="C75" s="55">
        <f>C74*C49</f>
        <v>7.0000000000000001E-3</v>
      </c>
      <c r="D75" s="49">
        <f>ROUND(($D$27+$D$94)*C75,2)</f>
        <v>21.54</v>
      </c>
      <c r="F75" s="188" t="s">
        <v>127</v>
      </c>
      <c r="G75" s="188"/>
      <c r="H75" s="188"/>
      <c r="K75" s="73"/>
    </row>
    <row r="76" spans="1:13" ht="21.75" customHeight="1">
      <c r="A76" s="95" t="s">
        <v>4</v>
      </c>
      <c r="B76" s="47" t="s">
        <v>109</v>
      </c>
      <c r="C76" s="55">
        <v>3.3500000000000002E-2</v>
      </c>
      <c r="D76" s="49">
        <f>ROUND($D$27*C76,2)</f>
        <v>93.52</v>
      </c>
      <c r="F76" s="188" t="s">
        <v>125</v>
      </c>
      <c r="G76" s="188"/>
      <c r="H76" s="188"/>
      <c r="K76" s="73"/>
    </row>
    <row r="77" spans="1:13" ht="20.100000000000001" customHeight="1">
      <c r="A77" s="159" t="s">
        <v>22</v>
      </c>
      <c r="B77" s="159"/>
      <c r="C77" s="57">
        <f>ROUND(SUM(C71:C76),4)</f>
        <v>7.0900000000000005E-2</v>
      </c>
      <c r="D77" s="54">
        <f>ROUND(SUM(D71:D76),2)</f>
        <v>206.85</v>
      </c>
      <c r="F77" s="9"/>
      <c r="G77" s="8"/>
      <c r="K77" s="5"/>
      <c r="M77" s="5"/>
    </row>
    <row r="78" spans="1:13" ht="20.100000000000001" customHeight="1">
      <c r="A78" s="99"/>
      <c r="B78" s="99"/>
      <c r="C78" s="99"/>
      <c r="D78" s="43"/>
      <c r="F78" s="9"/>
      <c r="G78" s="8"/>
      <c r="K78" s="5"/>
    </row>
    <row r="79" spans="1:13" ht="20.100000000000001" customHeight="1">
      <c r="A79" s="168" t="s">
        <v>56</v>
      </c>
      <c r="B79" s="168"/>
      <c r="C79" s="168"/>
      <c r="D79" s="168"/>
      <c r="F79" s="9"/>
      <c r="G79" s="8"/>
      <c r="K79" s="5"/>
      <c r="L79" s="3"/>
    </row>
    <row r="80" spans="1:13" ht="20.100000000000001" customHeight="1">
      <c r="A80" s="99"/>
      <c r="B80" s="99"/>
      <c r="C80" s="99"/>
      <c r="D80" s="99"/>
      <c r="K80" s="6"/>
    </row>
    <row r="81" spans="1:13" ht="20.100000000000001" customHeight="1">
      <c r="A81" s="161" t="s">
        <v>57</v>
      </c>
      <c r="B81" s="161"/>
      <c r="C81" s="161"/>
      <c r="D81" s="161"/>
      <c r="K81" s="6"/>
    </row>
    <row r="82" spans="1:13" ht="20.100000000000001" customHeight="1">
      <c r="A82" s="95" t="s">
        <v>20</v>
      </c>
      <c r="B82" s="50" t="s">
        <v>58</v>
      </c>
      <c r="C82" s="95" t="s">
        <v>38</v>
      </c>
      <c r="D82" s="95" t="s">
        <v>9</v>
      </c>
      <c r="F82" s="2"/>
      <c r="G82" s="2"/>
      <c r="K82" s="6"/>
    </row>
    <row r="83" spans="1:13" ht="20.100000000000001" customHeight="1">
      <c r="A83" s="95" t="s">
        <v>1</v>
      </c>
      <c r="B83" s="47" t="s">
        <v>59</v>
      </c>
      <c r="C83" s="55">
        <f>1/12</f>
        <v>8.3299999999999999E-2</v>
      </c>
      <c r="D83" s="49">
        <f t="shared" ref="D83:D89" si="1">ROUND(($D$27+$D$67+$D$77)*C83,2)</f>
        <v>438.66</v>
      </c>
      <c r="F83" s="186" t="s">
        <v>128</v>
      </c>
      <c r="G83" s="186"/>
      <c r="H83" s="186"/>
      <c r="I83" s="77"/>
      <c r="J83" s="77"/>
      <c r="K83" s="78"/>
    </row>
    <row r="84" spans="1:13" ht="20.100000000000001" customHeight="1">
      <c r="A84" s="95" t="s">
        <v>3</v>
      </c>
      <c r="B84" s="47" t="s">
        <v>58</v>
      </c>
      <c r="C84" s="55">
        <f>0.05/365</f>
        <v>1E-4</v>
      </c>
      <c r="D84" s="49">
        <f t="shared" si="1"/>
        <v>0.53</v>
      </c>
      <c r="E84" s="4"/>
      <c r="F84" s="186" t="s">
        <v>129</v>
      </c>
      <c r="G84" s="186"/>
      <c r="H84" s="186"/>
      <c r="I84" s="77"/>
      <c r="J84" s="77"/>
      <c r="K84" s="77"/>
    </row>
    <row r="85" spans="1:13" ht="27" customHeight="1">
      <c r="A85" s="95" t="s">
        <v>4</v>
      </c>
      <c r="B85" s="47" t="s">
        <v>110</v>
      </c>
      <c r="C85" s="55">
        <f>5/30/12*0.005</f>
        <v>1E-4</v>
      </c>
      <c r="D85" s="49">
        <f t="shared" si="1"/>
        <v>0.53</v>
      </c>
      <c r="F85" s="186" t="s">
        <v>139</v>
      </c>
      <c r="G85" s="186"/>
      <c r="H85" s="186"/>
      <c r="I85" s="186"/>
      <c r="J85" s="186"/>
      <c r="K85" s="186"/>
    </row>
    <row r="86" spans="1:13" ht="20.100000000000001" customHeight="1">
      <c r="A86" s="95" t="s">
        <v>5</v>
      </c>
      <c r="B86" s="47" t="s">
        <v>28</v>
      </c>
      <c r="C86" s="55">
        <f>15/30/12*0.003</f>
        <v>1E-4</v>
      </c>
      <c r="D86" s="49">
        <f t="shared" si="1"/>
        <v>0.53</v>
      </c>
      <c r="F86" s="186" t="s">
        <v>130</v>
      </c>
      <c r="G86" s="186"/>
      <c r="H86" s="186"/>
      <c r="I86" s="186"/>
      <c r="J86" s="186"/>
      <c r="K86" s="186"/>
    </row>
    <row r="87" spans="1:13" ht="22.5" customHeight="1">
      <c r="A87" s="95" t="s">
        <v>12</v>
      </c>
      <c r="B87" s="47" t="s">
        <v>111</v>
      </c>
      <c r="C87" s="55">
        <f>0.005*(4/12)/12</f>
        <v>1E-4</v>
      </c>
      <c r="D87" s="49">
        <f t="shared" si="1"/>
        <v>0.53</v>
      </c>
      <c r="F87" s="186" t="s">
        <v>140</v>
      </c>
      <c r="G87" s="186"/>
      <c r="H87" s="186"/>
      <c r="I87" s="186"/>
      <c r="J87" s="186"/>
      <c r="K87" s="186"/>
    </row>
    <row r="88" spans="1:13" ht="20.100000000000001" customHeight="1">
      <c r="A88" s="95" t="s">
        <v>13</v>
      </c>
      <c r="B88" s="47" t="s">
        <v>85</v>
      </c>
      <c r="C88" s="55">
        <f>0.05/365</f>
        <v>1E-4</v>
      </c>
      <c r="D88" s="49">
        <f t="shared" si="1"/>
        <v>0.53</v>
      </c>
      <c r="E88" s="5"/>
      <c r="F88" s="186" t="s">
        <v>131</v>
      </c>
      <c r="G88" s="186"/>
      <c r="H88" s="186"/>
      <c r="I88" s="77"/>
      <c r="J88" s="77"/>
      <c r="K88" s="77"/>
    </row>
    <row r="89" spans="1:13" ht="20.100000000000001" customHeight="1">
      <c r="A89" s="95" t="s">
        <v>14</v>
      </c>
      <c r="B89" s="47" t="s">
        <v>84</v>
      </c>
      <c r="C89" s="55"/>
      <c r="D89" s="49">
        <f t="shared" si="1"/>
        <v>0</v>
      </c>
      <c r="E89" s="5"/>
      <c r="F89" s="189" t="s">
        <v>162</v>
      </c>
      <c r="G89" s="189"/>
      <c r="H89" s="189"/>
      <c r="I89" s="189"/>
      <c r="J89" s="189"/>
      <c r="K89" s="189"/>
    </row>
    <row r="90" spans="1:13" ht="20.100000000000001" customHeight="1">
      <c r="A90" s="159" t="s">
        <v>22</v>
      </c>
      <c r="B90" s="159"/>
      <c r="C90" s="51">
        <f>ROUND(SUM(C83:C89),4)</f>
        <v>8.3799999999999999E-2</v>
      </c>
      <c r="D90" s="42">
        <f>ROUND(SUM(D83:D89),2)</f>
        <v>441.31</v>
      </c>
      <c r="F90" s="74"/>
      <c r="M90" s="5"/>
    </row>
    <row r="91" spans="1:13" ht="20.100000000000001" customHeight="1">
      <c r="A91" s="99"/>
      <c r="B91" s="99"/>
      <c r="C91" s="32"/>
      <c r="D91" s="43"/>
      <c r="F91" s="13"/>
      <c r="M91" s="13"/>
    </row>
    <row r="92" spans="1:13" ht="20.100000000000001" customHeight="1">
      <c r="A92" s="161" t="s">
        <v>60</v>
      </c>
      <c r="B92" s="161"/>
      <c r="C92" s="161"/>
      <c r="D92" s="161"/>
    </row>
    <row r="93" spans="1:13" ht="20.100000000000001" customHeight="1">
      <c r="A93" s="95" t="s">
        <v>21</v>
      </c>
      <c r="B93" s="50" t="s">
        <v>61</v>
      </c>
      <c r="C93" s="95" t="s">
        <v>38</v>
      </c>
      <c r="D93" s="95" t="s">
        <v>9</v>
      </c>
      <c r="E93" s="3"/>
    </row>
    <row r="94" spans="1:13" ht="20.100000000000001" customHeight="1">
      <c r="A94" s="95" t="s">
        <v>1</v>
      </c>
      <c r="B94" s="47" t="s">
        <v>62</v>
      </c>
      <c r="C94" s="55">
        <f>D94/D27</f>
        <v>0.1023</v>
      </c>
      <c r="D94" s="41">
        <f>D27/220*1.5*1*15</f>
        <v>285.5</v>
      </c>
      <c r="E94" s="7"/>
    </row>
    <row r="95" spans="1:13" ht="20.100000000000001" customHeight="1">
      <c r="A95" s="164" t="s">
        <v>22</v>
      </c>
      <c r="B95" s="165"/>
      <c r="C95" s="166"/>
      <c r="D95" s="41">
        <f>ROUND(D94,2)</f>
        <v>285.5</v>
      </c>
    </row>
    <row r="96" spans="1:13" ht="20.100000000000001" customHeight="1">
      <c r="A96" s="31"/>
      <c r="B96" s="38"/>
      <c r="C96" s="31"/>
      <c r="D96" s="43"/>
    </row>
    <row r="97" spans="1:5" ht="20.100000000000001" customHeight="1">
      <c r="A97" s="161" t="s">
        <v>63</v>
      </c>
      <c r="B97" s="161"/>
      <c r="C97" s="161"/>
      <c r="D97" s="161"/>
    </row>
    <row r="98" spans="1:5" ht="20.100000000000001" customHeight="1">
      <c r="A98" s="95">
        <v>4</v>
      </c>
      <c r="B98" s="159" t="s">
        <v>64</v>
      </c>
      <c r="C98" s="159"/>
      <c r="D98" s="95" t="s">
        <v>9</v>
      </c>
    </row>
    <row r="99" spans="1:5" ht="20.100000000000001" customHeight="1">
      <c r="A99" s="52" t="s">
        <v>20</v>
      </c>
      <c r="B99" s="155" t="s">
        <v>58</v>
      </c>
      <c r="C99" s="155"/>
      <c r="D99" s="49">
        <f>ROUND(D90,2)</f>
        <v>441.31</v>
      </c>
    </row>
    <row r="100" spans="1:5" ht="20.100000000000001" customHeight="1">
      <c r="A100" s="52" t="s">
        <v>21</v>
      </c>
      <c r="B100" s="155" t="s">
        <v>61</v>
      </c>
      <c r="C100" s="155"/>
      <c r="D100" s="49">
        <f>ROUND(D95,2)</f>
        <v>285.5</v>
      </c>
    </row>
    <row r="101" spans="1:5" ht="20.100000000000001" customHeight="1">
      <c r="A101" s="159" t="s">
        <v>22</v>
      </c>
      <c r="B101" s="159"/>
      <c r="C101" s="159"/>
      <c r="D101" s="42">
        <f>ROUND(SUM(D99:D100),2)</f>
        <v>726.81</v>
      </c>
    </row>
    <row r="102" spans="1:5" ht="20.100000000000001" customHeight="1">
      <c r="A102" s="31"/>
      <c r="B102" s="38"/>
      <c r="C102" s="31"/>
      <c r="D102" s="43"/>
      <c r="E102" s="5"/>
    </row>
    <row r="103" spans="1:5" ht="20.100000000000001" customHeight="1">
      <c r="A103" s="158" t="s">
        <v>65</v>
      </c>
      <c r="B103" s="158"/>
      <c r="C103" s="158"/>
      <c r="D103" s="158"/>
    </row>
    <row r="104" spans="1:5" ht="20.100000000000001" customHeight="1">
      <c r="A104" s="96">
        <v>5</v>
      </c>
      <c r="B104" s="158" t="s">
        <v>103</v>
      </c>
      <c r="C104" s="158"/>
      <c r="D104" s="96" t="s">
        <v>9</v>
      </c>
    </row>
    <row r="105" spans="1:5" ht="20.100000000000001" customHeight="1">
      <c r="A105" s="96" t="s">
        <v>1</v>
      </c>
      <c r="B105" s="163" t="s">
        <v>89</v>
      </c>
      <c r="C105" s="163"/>
      <c r="D105" s="41">
        <f>VLOOKUP(A14,'Entrada de dados'!A2:N10,9,FALSE)</f>
        <v>19.16</v>
      </c>
    </row>
    <row r="106" spans="1:5" ht="20.100000000000001" customHeight="1">
      <c r="A106" s="96" t="s">
        <v>3</v>
      </c>
      <c r="B106" s="163" t="s">
        <v>321</v>
      </c>
      <c r="C106" s="163"/>
      <c r="D106" s="41">
        <f>VLOOKUP(A14,'Entrada de dados'!A2:N10,10,FALSE)</f>
        <v>198.91</v>
      </c>
    </row>
    <row r="107" spans="1:5" ht="20.100000000000001" customHeight="1">
      <c r="A107" s="96" t="s">
        <v>3</v>
      </c>
      <c r="B107" s="163" t="s">
        <v>83</v>
      </c>
      <c r="C107" s="163"/>
      <c r="D107" s="41">
        <f>VLOOKUP(A14,'Entrada de dados'!A2:N10,11,FALSE)</f>
        <v>7.08</v>
      </c>
    </row>
    <row r="108" spans="1:5" ht="20.100000000000001" customHeight="1">
      <c r="A108" s="96" t="s">
        <v>3</v>
      </c>
      <c r="B108" s="163" t="s">
        <v>322</v>
      </c>
      <c r="C108" s="163"/>
      <c r="D108" s="41">
        <f>VLOOKUP(A14,'Entrada de dados'!A2:N10,12,FALSE)</f>
        <v>205.86</v>
      </c>
    </row>
    <row r="109" spans="1:5" ht="20.100000000000001" customHeight="1">
      <c r="A109" s="96" t="s">
        <v>3</v>
      </c>
      <c r="B109" s="163" t="s">
        <v>141</v>
      </c>
      <c r="C109" s="163"/>
      <c r="D109" s="41">
        <f>VLOOKUP(A14,'Entrada de dados'!A2:N10,13,FALSE)</f>
        <v>18.78</v>
      </c>
    </row>
    <row r="110" spans="1:5" ht="20.100000000000001" customHeight="1">
      <c r="A110" s="58" t="s">
        <v>4</v>
      </c>
      <c r="B110" s="163" t="s">
        <v>323</v>
      </c>
      <c r="C110" s="163"/>
      <c r="D110" s="41">
        <f>VLOOKUP(A14,'Entrada de dados'!A2:N10,14,FALSE)</f>
        <v>25.67</v>
      </c>
    </row>
    <row r="111" spans="1:5" ht="20.100000000000001" customHeight="1">
      <c r="A111" s="58" t="s">
        <v>5</v>
      </c>
      <c r="B111" s="163" t="s">
        <v>324</v>
      </c>
      <c r="C111" s="163"/>
      <c r="D111" s="41">
        <v>0</v>
      </c>
    </row>
    <row r="112" spans="1:5" ht="20.100000000000001" customHeight="1">
      <c r="A112" s="158" t="s">
        <v>19</v>
      </c>
      <c r="B112" s="158"/>
      <c r="C112" s="158"/>
      <c r="D112" s="54">
        <f>ROUND(SUM(D105:D111),2)</f>
        <v>475.46</v>
      </c>
    </row>
    <row r="113" spans="1:8" ht="20.100000000000001" customHeight="1">
      <c r="A113" s="167"/>
      <c r="B113" s="167"/>
      <c r="C113" s="167"/>
      <c r="D113" s="32"/>
    </row>
    <row r="114" spans="1:8" ht="20.100000000000001" customHeight="1">
      <c r="A114" s="158" t="s">
        <v>79</v>
      </c>
      <c r="B114" s="158"/>
      <c r="C114" s="158"/>
      <c r="D114" s="158"/>
    </row>
    <row r="115" spans="1:8" ht="20.100000000000001" customHeight="1">
      <c r="A115" s="95">
        <v>6</v>
      </c>
      <c r="B115" s="50" t="s">
        <v>24</v>
      </c>
      <c r="C115" s="95" t="s">
        <v>38</v>
      </c>
      <c r="D115" s="95" t="s">
        <v>9</v>
      </c>
    </row>
    <row r="116" spans="1:8" ht="20.100000000000001" customHeight="1">
      <c r="A116" s="95" t="s">
        <v>1</v>
      </c>
      <c r="B116" s="47" t="s">
        <v>25</v>
      </c>
      <c r="C116" s="59">
        <v>1E-3</v>
      </c>
      <c r="D116" s="41">
        <f>D132*C116</f>
        <v>6.47</v>
      </c>
    </row>
    <row r="117" spans="1:8" ht="20.100000000000001" customHeight="1">
      <c r="A117" s="95" t="s">
        <v>3</v>
      </c>
      <c r="B117" s="47" t="s">
        <v>66</v>
      </c>
      <c r="C117" s="59">
        <f>'1'!C117</f>
        <v>7.7999999999999996E-3</v>
      </c>
      <c r="D117" s="41">
        <f>(D132+D116)*C117</f>
        <v>50.5</v>
      </c>
      <c r="E117" s="126">
        <f>'Quadro Resumo'!J16</f>
        <v>17072730.899999999</v>
      </c>
    </row>
    <row r="118" spans="1:8" ht="20.100000000000001" customHeight="1">
      <c r="A118" s="95" t="s">
        <v>4</v>
      </c>
      <c r="B118" s="47" t="s">
        <v>67</v>
      </c>
      <c r="C118" s="60"/>
      <c r="D118" s="41"/>
    </row>
    <row r="119" spans="1:8" ht="20.100000000000001" customHeight="1">
      <c r="A119" s="95"/>
      <c r="B119" s="47" t="s">
        <v>88</v>
      </c>
      <c r="C119" s="61">
        <v>6.4999999999999997E-3</v>
      </c>
      <c r="D119" s="41">
        <f>ROUND((D132+D116+D117)/(1-$C$122)*C119,2)</f>
        <v>46.43</v>
      </c>
      <c r="F119" s="187"/>
    </row>
    <row r="120" spans="1:8" ht="20.100000000000001" customHeight="1">
      <c r="A120" s="95"/>
      <c r="B120" s="47" t="s">
        <v>87</v>
      </c>
      <c r="C120" s="61">
        <v>0.03</v>
      </c>
      <c r="D120" s="41">
        <f>ROUND((D132+D116+D117)/(1-$C$122)*C120,2)</f>
        <v>214.29</v>
      </c>
      <c r="F120" s="187"/>
    </row>
    <row r="121" spans="1:8" ht="20.100000000000001" customHeight="1">
      <c r="A121" s="52"/>
      <c r="B121" s="47" t="s">
        <v>86</v>
      </c>
      <c r="C121" s="61">
        <v>0.05</v>
      </c>
      <c r="D121" s="41">
        <f>ROUND((D132+D116+D117)/(1-$C$122)*C121,2)</f>
        <v>357.16</v>
      </c>
      <c r="F121" s="70" t="s">
        <v>165</v>
      </c>
      <c r="G121" s="70"/>
      <c r="H121" s="70"/>
    </row>
    <row r="122" spans="1:8" ht="20.100000000000001" customHeight="1">
      <c r="A122" s="95"/>
      <c r="B122" s="62" t="s">
        <v>80</v>
      </c>
      <c r="C122" s="60">
        <f>SUM(C119:C121)</f>
        <v>8.6499999999999994E-2</v>
      </c>
      <c r="D122" s="42">
        <f>ROUND(SUM(D119:D121),2)</f>
        <v>617.88</v>
      </c>
    </row>
    <row r="123" spans="1:8" ht="20.100000000000001" customHeight="1">
      <c r="A123" s="164" t="s">
        <v>81</v>
      </c>
      <c r="B123" s="165"/>
      <c r="C123" s="166"/>
      <c r="D123" s="42">
        <f>ROUND(D122+D116+D117,2)</f>
        <v>674.85</v>
      </c>
    </row>
    <row r="124" spans="1:8" ht="20.100000000000001" customHeight="1">
      <c r="A124" s="63"/>
      <c r="B124" s="32"/>
      <c r="C124" s="32"/>
      <c r="D124" s="32"/>
    </row>
    <row r="125" spans="1:8" ht="20.100000000000001" customHeight="1">
      <c r="A125" s="161" t="s">
        <v>68</v>
      </c>
      <c r="B125" s="161"/>
      <c r="C125" s="161"/>
      <c r="D125" s="161"/>
    </row>
    <row r="126" spans="1:8" ht="20.100000000000001" customHeight="1">
      <c r="A126" s="52"/>
      <c r="B126" s="159" t="s">
        <v>69</v>
      </c>
      <c r="C126" s="159"/>
      <c r="D126" s="95" t="s">
        <v>9</v>
      </c>
    </row>
    <row r="127" spans="1:8" ht="20.100000000000001" customHeight="1">
      <c r="A127" s="95" t="s">
        <v>1</v>
      </c>
      <c r="B127" s="155" t="s">
        <v>26</v>
      </c>
      <c r="C127" s="155"/>
      <c r="D127" s="64">
        <f>ROUND(D27,2)</f>
        <v>2791.55</v>
      </c>
      <c r="F127" s="27" t="s">
        <v>132</v>
      </c>
    </row>
    <row r="128" spans="1:8" ht="25.5">
      <c r="A128" s="95" t="s">
        <v>3</v>
      </c>
      <c r="B128" s="155" t="s">
        <v>70</v>
      </c>
      <c r="C128" s="155"/>
      <c r="D128" s="65">
        <f>ROUND(D67,2)</f>
        <v>2267.64</v>
      </c>
      <c r="F128" s="27" t="s">
        <v>133</v>
      </c>
      <c r="G128" s="2"/>
    </row>
    <row r="129" spans="1:7" ht="25.5">
      <c r="A129" s="95" t="s">
        <v>4</v>
      </c>
      <c r="B129" s="155" t="s">
        <v>52</v>
      </c>
      <c r="C129" s="155"/>
      <c r="D129" s="64">
        <f>ROUND(D77,2)</f>
        <v>206.85</v>
      </c>
      <c r="F129" s="27" t="s">
        <v>134</v>
      </c>
    </row>
    <row r="130" spans="1:7" ht="25.5">
      <c r="A130" s="95" t="s">
        <v>5</v>
      </c>
      <c r="B130" s="155" t="s">
        <v>56</v>
      </c>
      <c r="C130" s="155"/>
      <c r="D130" s="64">
        <f>ROUND(D101,2)</f>
        <v>726.81</v>
      </c>
      <c r="F130" s="27" t="s">
        <v>135</v>
      </c>
    </row>
    <row r="131" spans="1:7" ht="25.5">
      <c r="A131" s="95" t="s">
        <v>12</v>
      </c>
      <c r="B131" s="155" t="s">
        <v>71</v>
      </c>
      <c r="C131" s="155"/>
      <c r="D131" s="64">
        <f>ROUND(D112,2)</f>
        <v>475.46</v>
      </c>
      <c r="F131" s="27" t="s">
        <v>136</v>
      </c>
    </row>
    <row r="132" spans="1:7" ht="25.5">
      <c r="A132" s="159" t="s">
        <v>72</v>
      </c>
      <c r="B132" s="159"/>
      <c r="C132" s="159"/>
      <c r="D132" s="64">
        <f>ROUND(SUM(D127:D131),2)</f>
        <v>6468.31</v>
      </c>
      <c r="F132" s="27" t="s">
        <v>137</v>
      </c>
    </row>
    <row r="133" spans="1:7" ht="20.100000000000001" customHeight="1">
      <c r="A133" s="95" t="s">
        <v>13</v>
      </c>
      <c r="B133" s="155" t="s">
        <v>73</v>
      </c>
      <c r="C133" s="155"/>
      <c r="D133" s="64">
        <f>ROUND(D123,2)</f>
        <v>674.85</v>
      </c>
    </row>
    <row r="134" spans="1:7" ht="20.100000000000001" customHeight="1">
      <c r="A134" s="159" t="s">
        <v>82</v>
      </c>
      <c r="B134" s="159"/>
      <c r="C134" s="159"/>
      <c r="D134" s="64">
        <f>ROUND(D132+D133,2)</f>
        <v>7143.16</v>
      </c>
    </row>
    <row r="135" spans="1:7" ht="20.100000000000001" customHeight="1">
      <c r="A135" s="63"/>
      <c r="B135" s="32"/>
      <c r="C135" s="32"/>
      <c r="D135" s="32"/>
    </row>
    <row r="136" spans="1:7" ht="20.100000000000001" customHeight="1">
      <c r="A136" s="161" t="s">
        <v>74</v>
      </c>
      <c r="B136" s="161"/>
      <c r="C136" s="161"/>
      <c r="D136" s="161"/>
    </row>
    <row r="137" spans="1:7" ht="20.100000000000001" customHeight="1">
      <c r="A137" s="159" t="s">
        <v>75</v>
      </c>
      <c r="B137" s="159"/>
      <c r="C137" s="159"/>
      <c r="D137" s="159"/>
    </row>
    <row r="138" spans="1:7" ht="20.100000000000001" customHeight="1">
      <c r="A138" s="52"/>
      <c r="B138" s="159" t="s">
        <v>76</v>
      </c>
      <c r="C138" s="159"/>
      <c r="D138" s="95" t="s">
        <v>77</v>
      </c>
    </row>
    <row r="139" spans="1:7" ht="20.100000000000001" customHeight="1">
      <c r="A139" s="95" t="s">
        <v>1</v>
      </c>
      <c r="B139" s="155" t="s">
        <v>143</v>
      </c>
      <c r="C139" s="155"/>
      <c r="D139" s="66">
        <f>D134</f>
        <v>7143.16</v>
      </c>
      <c r="G139" s="9"/>
    </row>
    <row r="140" spans="1:7" ht="20.100000000000001" customHeight="1">
      <c r="A140" s="95" t="s">
        <v>3</v>
      </c>
      <c r="B140" s="155" t="s">
        <v>96</v>
      </c>
      <c r="C140" s="155"/>
      <c r="D140" s="67">
        <f>D14</f>
        <v>42</v>
      </c>
    </row>
    <row r="141" spans="1:7" ht="20.100000000000001" customHeight="1">
      <c r="A141" s="95" t="s">
        <v>4</v>
      </c>
      <c r="B141" s="155" t="s">
        <v>144</v>
      </c>
      <c r="C141" s="155"/>
      <c r="D141" s="68">
        <f>D139*D140</f>
        <v>300012.71999999997</v>
      </c>
    </row>
    <row r="142" spans="1:7" ht="30.75" customHeight="1">
      <c r="A142" s="95" t="s">
        <v>5</v>
      </c>
      <c r="B142" s="155" t="s">
        <v>78</v>
      </c>
      <c r="C142" s="155"/>
      <c r="D142" s="69">
        <f>D141*30</f>
        <v>9000381.5999999996</v>
      </c>
    </row>
    <row r="144" spans="1:7">
      <c r="A144" s="162"/>
      <c r="B144" s="162"/>
      <c r="C144" s="162"/>
      <c r="D144" s="162"/>
    </row>
    <row r="148" spans="1:4">
      <c r="A148" s="162"/>
      <c r="B148" s="162"/>
      <c r="C148" s="162"/>
      <c r="D148" s="162"/>
    </row>
    <row r="149" spans="1:4">
      <c r="A149" s="162"/>
      <c r="B149" s="162"/>
      <c r="C149" s="162"/>
      <c r="D149" s="162"/>
    </row>
    <row r="150" spans="1:4">
      <c r="A150" s="162"/>
      <c r="B150" s="162"/>
      <c r="C150" s="162"/>
      <c r="D150" s="162"/>
    </row>
    <row r="151" spans="1:4">
      <c r="A151" s="162"/>
      <c r="B151" s="162"/>
      <c r="C151" s="162"/>
      <c r="D151" s="162"/>
    </row>
  </sheetData>
  <mergeCells count="108">
    <mergeCell ref="A144:D144"/>
    <mergeCell ref="A148:D148"/>
    <mergeCell ref="A149:D149"/>
    <mergeCell ref="A150:D150"/>
    <mergeCell ref="A151:D151"/>
    <mergeCell ref="A137:D137"/>
    <mergeCell ref="B138:C138"/>
    <mergeCell ref="B139:C139"/>
    <mergeCell ref="B140:C140"/>
    <mergeCell ref="B141:C141"/>
    <mergeCell ref="B142:C142"/>
    <mergeCell ref="B130:C130"/>
    <mergeCell ref="B131:C131"/>
    <mergeCell ref="A132:C132"/>
    <mergeCell ref="B133:C133"/>
    <mergeCell ref="A134:C134"/>
    <mergeCell ref="A136:D136"/>
    <mergeCell ref="A123:C123"/>
    <mergeCell ref="A125:D125"/>
    <mergeCell ref="B126:C126"/>
    <mergeCell ref="B127:C127"/>
    <mergeCell ref="B128:C128"/>
    <mergeCell ref="B129:C129"/>
    <mergeCell ref="B110:C110"/>
    <mergeCell ref="B111:C111"/>
    <mergeCell ref="A112:C112"/>
    <mergeCell ref="A113:C113"/>
    <mergeCell ref="A114:D114"/>
    <mergeCell ref="F119:F120"/>
    <mergeCell ref="B104:C104"/>
    <mergeCell ref="B105:C105"/>
    <mergeCell ref="B106:C106"/>
    <mergeCell ref="B107:C107"/>
    <mergeCell ref="B108:C108"/>
    <mergeCell ref="B109:C109"/>
    <mergeCell ref="A97:D97"/>
    <mergeCell ref="B98:C98"/>
    <mergeCell ref="B99:C99"/>
    <mergeCell ref="B100:C100"/>
    <mergeCell ref="A101:C101"/>
    <mergeCell ref="A103:D103"/>
    <mergeCell ref="F87:K87"/>
    <mergeCell ref="F88:H88"/>
    <mergeCell ref="F89:K89"/>
    <mergeCell ref="A90:B90"/>
    <mergeCell ref="A92:D92"/>
    <mergeCell ref="A95:C95"/>
    <mergeCell ref="A79:D79"/>
    <mergeCell ref="A81:D81"/>
    <mergeCell ref="F83:H83"/>
    <mergeCell ref="F84:H84"/>
    <mergeCell ref="F85:K85"/>
    <mergeCell ref="F86:K86"/>
    <mergeCell ref="F72:H72"/>
    <mergeCell ref="F73:K73"/>
    <mergeCell ref="F74:K74"/>
    <mergeCell ref="F75:H75"/>
    <mergeCell ref="F76:H76"/>
    <mergeCell ref="A77:B77"/>
    <mergeCell ref="B64:C64"/>
    <mergeCell ref="B65:C65"/>
    <mergeCell ref="B66:C66"/>
    <mergeCell ref="A67:C67"/>
    <mergeCell ref="A69:D69"/>
    <mergeCell ref="F71:K71"/>
    <mergeCell ref="B57:C57"/>
    <mergeCell ref="B58:C58"/>
    <mergeCell ref="B59:C59"/>
    <mergeCell ref="A60:C60"/>
    <mergeCell ref="A62:D62"/>
    <mergeCell ref="B63:C63"/>
    <mergeCell ref="A51:D51"/>
    <mergeCell ref="B52:C52"/>
    <mergeCell ref="B53:C53"/>
    <mergeCell ref="B54:C54"/>
    <mergeCell ref="B55:C55"/>
    <mergeCell ref="B56:C56"/>
    <mergeCell ref="A27:C27"/>
    <mergeCell ref="A29:D29"/>
    <mergeCell ref="A31:D31"/>
    <mergeCell ref="A37:B37"/>
    <mergeCell ref="A39:D39"/>
    <mergeCell ref="A49:B49"/>
    <mergeCell ref="B21:C21"/>
    <mergeCell ref="B22:C22"/>
    <mergeCell ref="B23:C23"/>
    <mergeCell ref="B24:C24"/>
    <mergeCell ref="B25:C25"/>
    <mergeCell ref="B26:C26"/>
    <mergeCell ref="D14:D15"/>
    <mergeCell ref="A16:C16"/>
    <mergeCell ref="A17:C17"/>
    <mergeCell ref="A18:C18"/>
    <mergeCell ref="A19:D19"/>
    <mergeCell ref="B20:C20"/>
    <mergeCell ref="B8:C8"/>
    <mergeCell ref="B9:C9"/>
    <mergeCell ref="B10:C10"/>
    <mergeCell ref="B11:C11"/>
    <mergeCell ref="A13:B13"/>
    <mergeCell ref="A14:B15"/>
    <mergeCell ref="C14:C15"/>
    <mergeCell ref="A1:D1"/>
    <mergeCell ref="A2:D2"/>
    <mergeCell ref="A3:D3"/>
    <mergeCell ref="A4:D4"/>
    <mergeCell ref="B5:D5"/>
    <mergeCell ref="A7:D7"/>
  </mergeCells>
  <printOptions horizontalCentered="1"/>
  <pageMargins left="0.39370078740157483" right="0.39370078740157483" top="1.9685039370078741" bottom="0.78740157480314965" header="0" footer="0"/>
  <pageSetup paperSize="9" scale="80" fitToHeight="0" orientation="portrait" r:id="rId1"/>
  <rowBreaks count="1" manualBreakCount="1">
    <brk id="67" max="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5"/>
  <sheetViews>
    <sheetView showGridLines="0" topLeftCell="A112" workbookViewId="0">
      <selection activeCell="G112" sqref="G1:G1048576"/>
    </sheetView>
  </sheetViews>
  <sheetFormatPr defaultRowHeight="15"/>
  <cols>
    <col min="1" max="1" width="6.5703125" customWidth="1"/>
    <col min="2" max="2" width="54.5703125" customWidth="1"/>
    <col min="3" max="3" width="16.5703125" customWidth="1"/>
    <col min="4" max="4" width="17.7109375" customWidth="1"/>
    <col min="5" max="5" width="15.42578125" customWidth="1"/>
    <col min="6" max="6" width="14.85546875" customWidth="1"/>
    <col min="7" max="7" width="14.28515625" customWidth="1"/>
  </cols>
  <sheetData>
    <row r="1" spans="2:6">
      <c r="B1" s="192" t="s">
        <v>269</v>
      </c>
      <c r="C1" s="193"/>
      <c r="D1" s="193"/>
      <c r="E1" s="193"/>
      <c r="F1" s="194"/>
    </row>
    <row r="2" spans="2:6" ht="15.75" thickBot="1">
      <c r="B2" s="113" t="s">
        <v>76</v>
      </c>
      <c r="C2" s="114" t="s">
        <v>270</v>
      </c>
      <c r="D2" s="114" t="s">
        <v>181</v>
      </c>
      <c r="E2" s="115" t="s">
        <v>278</v>
      </c>
      <c r="F2" s="116" t="s">
        <v>277</v>
      </c>
    </row>
    <row r="3" spans="2:6">
      <c r="B3" s="109" t="s">
        <v>268</v>
      </c>
      <c r="C3" s="110">
        <v>2</v>
      </c>
      <c r="D3" s="111">
        <v>40</v>
      </c>
      <c r="E3" s="111">
        <f t="shared" ref="E3:E9" si="0">D3*C3</f>
        <v>80</v>
      </c>
      <c r="F3" s="112">
        <f t="shared" ref="F3:F9" si="1">E3/12</f>
        <v>6.67</v>
      </c>
    </row>
    <row r="4" spans="2:6">
      <c r="B4" s="102" t="s">
        <v>271</v>
      </c>
      <c r="C4" s="87">
        <v>2</v>
      </c>
      <c r="D4" s="86">
        <v>17</v>
      </c>
      <c r="E4" s="86">
        <f t="shared" si="0"/>
        <v>34</v>
      </c>
      <c r="F4" s="103">
        <f t="shared" si="1"/>
        <v>2.83</v>
      </c>
    </row>
    <row r="5" spans="2:6">
      <c r="B5" s="102" t="s">
        <v>272</v>
      </c>
      <c r="C5" s="87">
        <v>2</v>
      </c>
      <c r="D5" s="86">
        <v>20</v>
      </c>
      <c r="E5" s="86">
        <f t="shared" si="0"/>
        <v>40</v>
      </c>
      <c r="F5" s="103">
        <f t="shared" si="1"/>
        <v>3.33</v>
      </c>
    </row>
    <row r="6" spans="2:6">
      <c r="B6" s="102" t="s">
        <v>273</v>
      </c>
      <c r="C6" s="87">
        <v>1</v>
      </c>
      <c r="D6" s="86">
        <v>5</v>
      </c>
      <c r="E6" s="86">
        <f t="shared" si="0"/>
        <v>5</v>
      </c>
      <c r="F6" s="103">
        <f t="shared" si="1"/>
        <v>0.42</v>
      </c>
    </row>
    <row r="7" spans="2:6" ht="17.45" customHeight="1">
      <c r="B7" s="104" t="s">
        <v>274</v>
      </c>
      <c r="C7" s="87">
        <v>6</v>
      </c>
      <c r="D7" s="86">
        <v>3.5</v>
      </c>
      <c r="E7" s="86">
        <f t="shared" si="0"/>
        <v>21</v>
      </c>
      <c r="F7" s="103">
        <f t="shared" si="1"/>
        <v>1.75</v>
      </c>
    </row>
    <row r="8" spans="2:6" ht="18.600000000000001" customHeight="1">
      <c r="B8" s="104" t="s">
        <v>275</v>
      </c>
      <c r="C8" s="101">
        <v>1</v>
      </c>
      <c r="D8" s="86">
        <v>40</v>
      </c>
      <c r="E8" s="86">
        <f t="shared" si="0"/>
        <v>40</v>
      </c>
      <c r="F8" s="103">
        <f t="shared" si="1"/>
        <v>3.33</v>
      </c>
    </row>
    <row r="9" spans="2:6" ht="16.149999999999999" customHeight="1" thickBot="1">
      <c r="B9" s="105" t="s">
        <v>276</v>
      </c>
      <c r="C9" s="106">
        <v>1</v>
      </c>
      <c r="D9" s="107">
        <v>10</v>
      </c>
      <c r="E9" s="107">
        <f t="shared" si="0"/>
        <v>10</v>
      </c>
      <c r="F9" s="108">
        <f t="shared" si="1"/>
        <v>0.83</v>
      </c>
    </row>
    <row r="10" spans="2:6" ht="15.75" thickBot="1">
      <c r="B10" s="197" t="s">
        <v>277</v>
      </c>
      <c r="C10" s="198"/>
      <c r="D10" s="198"/>
      <c r="E10" s="198"/>
      <c r="F10" s="117">
        <f>SUM(F3:F9)</f>
        <v>19.16</v>
      </c>
    </row>
    <row r="11" spans="2:6" ht="15.75" thickBot="1"/>
    <row r="12" spans="2:6">
      <c r="B12" s="192" t="s">
        <v>279</v>
      </c>
      <c r="C12" s="193"/>
      <c r="D12" s="193"/>
      <c r="E12" s="193"/>
      <c r="F12" s="194"/>
    </row>
    <row r="13" spans="2:6" ht="15.75" thickBot="1">
      <c r="B13" s="113" t="s">
        <v>76</v>
      </c>
      <c r="C13" s="114" t="s">
        <v>270</v>
      </c>
      <c r="D13" s="114" t="s">
        <v>181</v>
      </c>
      <c r="E13" s="115" t="s">
        <v>278</v>
      </c>
      <c r="F13" s="116" t="s">
        <v>277</v>
      </c>
    </row>
    <row r="14" spans="2:6">
      <c r="B14" s="109" t="s">
        <v>268</v>
      </c>
      <c r="C14" s="110">
        <v>2</v>
      </c>
      <c r="D14" s="111">
        <v>40</v>
      </c>
      <c r="E14" s="111">
        <f>D14*C14</f>
        <v>80</v>
      </c>
      <c r="F14" s="112">
        <f>E14/12</f>
        <v>6.67</v>
      </c>
    </row>
    <row r="15" spans="2:6">
      <c r="B15" s="102" t="s">
        <v>271</v>
      </c>
      <c r="C15" s="87">
        <v>2</v>
      </c>
      <c r="D15" s="86">
        <v>17</v>
      </c>
      <c r="E15" s="86">
        <f>D15*C15</f>
        <v>34</v>
      </c>
      <c r="F15" s="103">
        <f>E15/12</f>
        <v>2.83</v>
      </c>
    </row>
    <row r="16" spans="2:6">
      <c r="B16" s="102" t="s">
        <v>272</v>
      </c>
      <c r="C16" s="87">
        <v>2</v>
      </c>
      <c r="D16" s="86">
        <v>20</v>
      </c>
      <c r="E16" s="86">
        <f>D16*C16</f>
        <v>40</v>
      </c>
      <c r="F16" s="103">
        <f>E16/12</f>
        <v>3.33</v>
      </c>
    </row>
    <row r="17" spans="2:6">
      <c r="B17" s="102" t="s">
        <v>273</v>
      </c>
      <c r="C17" s="87">
        <v>1</v>
      </c>
      <c r="D17" s="86">
        <v>5</v>
      </c>
      <c r="E17" s="86">
        <f>D17*C17</f>
        <v>5</v>
      </c>
      <c r="F17" s="103">
        <f>E17/12</f>
        <v>0.42</v>
      </c>
    </row>
    <row r="18" spans="2:6" ht="13.9" customHeight="1" thickBot="1">
      <c r="B18" s="104" t="s">
        <v>275</v>
      </c>
      <c r="C18" s="101">
        <v>2</v>
      </c>
      <c r="D18" s="86">
        <v>40</v>
      </c>
      <c r="E18" s="86">
        <f>D18*C18</f>
        <v>80</v>
      </c>
      <c r="F18" s="103">
        <f>E18/12</f>
        <v>6.67</v>
      </c>
    </row>
    <row r="19" spans="2:6" ht="15.75" thickBot="1">
      <c r="B19" s="197" t="s">
        <v>277</v>
      </c>
      <c r="C19" s="198"/>
      <c r="D19" s="198"/>
      <c r="E19" s="198"/>
      <c r="F19" s="117">
        <f>SUM(F14:F18)</f>
        <v>19.920000000000002</v>
      </c>
    </row>
    <row r="20" spans="2:6" ht="15.75" thickBot="1"/>
    <row r="21" spans="2:6">
      <c r="B21" s="192" t="s">
        <v>280</v>
      </c>
      <c r="C21" s="193"/>
      <c r="D21" s="193"/>
      <c r="E21" s="193"/>
      <c r="F21" s="194"/>
    </row>
    <row r="22" spans="2:6" ht="15.75" thickBot="1">
      <c r="B22" s="113" t="s">
        <v>76</v>
      </c>
      <c r="C22" s="114" t="s">
        <v>270</v>
      </c>
      <c r="D22" s="114" t="s">
        <v>181</v>
      </c>
      <c r="E22" s="115" t="s">
        <v>278</v>
      </c>
      <c r="F22" s="116" t="s">
        <v>277</v>
      </c>
    </row>
    <row r="23" spans="2:6">
      <c r="B23" s="109" t="s">
        <v>268</v>
      </c>
      <c r="C23" s="110">
        <v>2</v>
      </c>
      <c r="D23" s="111">
        <v>40</v>
      </c>
      <c r="E23" s="111">
        <f>D23*C23</f>
        <v>80</v>
      </c>
      <c r="F23" s="112">
        <f>E23/12</f>
        <v>6.67</v>
      </c>
    </row>
    <row r="24" spans="2:6">
      <c r="B24" s="102" t="s">
        <v>271</v>
      </c>
      <c r="C24" s="87">
        <v>2</v>
      </c>
      <c r="D24" s="86">
        <v>17</v>
      </c>
      <c r="E24" s="86">
        <f>D24*C24</f>
        <v>34</v>
      </c>
      <c r="F24" s="103">
        <f>E24/12</f>
        <v>2.83</v>
      </c>
    </row>
    <row r="25" spans="2:6">
      <c r="B25" s="102" t="s">
        <v>272</v>
      </c>
      <c r="C25" s="87">
        <v>2</v>
      </c>
      <c r="D25" s="86">
        <v>20</v>
      </c>
      <c r="E25" s="86">
        <f>D25*C25</f>
        <v>40</v>
      </c>
      <c r="F25" s="103">
        <f>E25/12</f>
        <v>3.33</v>
      </c>
    </row>
    <row r="26" spans="2:6">
      <c r="B26" s="102" t="s">
        <v>273</v>
      </c>
      <c r="C26" s="87">
        <v>1</v>
      </c>
      <c r="D26" s="86">
        <v>5</v>
      </c>
      <c r="E26" s="86">
        <f>D26*C26</f>
        <v>5</v>
      </c>
      <c r="F26" s="103">
        <f>E26/12</f>
        <v>0.42</v>
      </c>
    </row>
    <row r="27" spans="2:6" ht="45.75" thickBot="1">
      <c r="B27" s="104" t="s">
        <v>275</v>
      </c>
      <c r="C27" s="101">
        <v>2</v>
      </c>
      <c r="D27" s="86">
        <v>40</v>
      </c>
      <c r="E27" s="86">
        <f>D27*C27</f>
        <v>80</v>
      </c>
      <c r="F27" s="103">
        <f>E27/12</f>
        <v>6.67</v>
      </c>
    </row>
    <row r="28" spans="2:6" ht="15.75" thickBot="1">
      <c r="B28" s="197" t="s">
        <v>277</v>
      </c>
      <c r="C28" s="198"/>
      <c r="D28" s="198"/>
      <c r="E28" s="198"/>
      <c r="F28" s="117">
        <f>SUM(F23:F27)</f>
        <v>19.920000000000002</v>
      </c>
    </row>
    <row r="29" spans="2:6" ht="15.75" thickBot="1"/>
    <row r="30" spans="2:6">
      <c r="B30" s="192" t="s">
        <v>281</v>
      </c>
      <c r="C30" s="193"/>
      <c r="D30" s="193"/>
      <c r="E30" s="193"/>
      <c r="F30" s="194"/>
    </row>
    <row r="31" spans="2:6" ht="15.75" thickBot="1">
      <c r="B31" s="113" t="s">
        <v>76</v>
      </c>
      <c r="C31" s="114" t="s">
        <v>270</v>
      </c>
      <c r="D31" s="114" t="s">
        <v>181</v>
      </c>
      <c r="E31" s="115" t="s">
        <v>278</v>
      </c>
      <c r="F31" s="116" t="s">
        <v>277</v>
      </c>
    </row>
    <row r="32" spans="2:6">
      <c r="B32" s="109" t="s">
        <v>282</v>
      </c>
      <c r="C32" s="110">
        <v>2</v>
      </c>
      <c r="D32" s="111">
        <v>35</v>
      </c>
      <c r="E32" s="111">
        <f t="shared" ref="E32:E39" si="2">D32*C32</f>
        <v>70</v>
      </c>
      <c r="F32" s="112">
        <f t="shared" ref="F32:F39" si="3">E32/12</f>
        <v>5.83</v>
      </c>
    </row>
    <row r="33" spans="2:6">
      <c r="B33" s="109" t="s">
        <v>268</v>
      </c>
      <c r="C33" s="110">
        <v>2</v>
      </c>
      <c r="D33" s="111">
        <v>40</v>
      </c>
      <c r="E33" s="111">
        <f t="shared" si="2"/>
        <v>80</v>
      </c>
      <c r="F33" s="112">
        <f t="shared" si="3"/>
        <v>6.67</v>
      </c>
    </row>
    <row r="34" spans="2:6">
      <c r="B34" s="102" t="s">
        <v>271</v>
      </c>
      <c r="C34" s="87">
        <v>2</v>
      </c>
      <c r="D34" s="86">
        <v>17</v>
      </c>
      <c r="E34" s="86">
        <f t="shared" si="2"/>
        <v>34</v>
      </c>
      <c r="F34" s="103">
        <f t="shared" si="3"/>
        <v>2.83</v>
      </c>
    </row>
    <row r="35" spans="2:6">
      <c r="B35" s="102" t="s">
        <v>272</v>
      </c>
      <c r="C35" s="87">
        <v>2</v>
      </c>
      <c r="D35" s="86">
        <v>20</v>
      </c>
      <c r="E35" s="86">
        <f t="shared" si="2"/>
        <v>40</v>
      </c>
      <c r="F35" s="103">
        <f t="shared" si="3"/>
        <v>3.33</v>
      </c>
    </row>
    <row r="36" spans="2:6">
      <c r="B36" t="s">
        <v>283</v>
      </c>
      <c r="C36" s="87">
        <v>1</v>
      </c>
      <c r="D36" s="86">
        <v>5</v>
      </c>
      <c r="E36" s="86">
        <f t="shared" si="2"/>
        <v>5</v>
      </c>
      <c r="F36" s="103">
        <f t="shared" si="3"/>
        <v>0.42</v>
      </c>
    </row>
    <row r="37" spans="2:6">
      <c r="B37" s="102" t="s">
        <v>273</v>
      </c>
      <c r="C37" s="87">
        <v>1</v>
      </c>
      <c r="D37" s="86">
        <v>5</v>
      </c>
      <c r="E37" s="86">
        <f t="shared" si="2"/>
        <v>5</v>
      </c>
      <c r="F37" s="103">
        <f t="shared" si="3"/>
        <v>0.42</v>
      </c>
    </row>
    <row r="38" spans="2:6" ht="17.45" customHeight="1">
      <c r="B38" s="104" t="s">
        <v>274</v>
      </c>
      <c r="C38" s="87">
        <v>6</v>
      </c>
      <c r="D38" s="86">
        <v>3.5</v>
      </c>
      <c r="E38" s="86">
        <f t="shared" si="2"/>
        <v>21</v>
      </c>
      <c r="F38" s="103">
        <f t="shared" si="3"/>
        <v>1.75</v>
      </c>
    </row>
    <row r="39" spans="2:6" ht="18.600000000000001" customHeight="1" thickBot="1">
      <c r="B39" s="104" t="s">
        <v>275</v>
      </c>
      <c r="C39" s="101">
        <v>2</v>
      </c>
      <c r="D39" s="86">
        <v>40</v>
      </c>
      <c r="E39" s="86">
        <f t="shared" si="2"/>
        <v>80</v>
      </c>
      <c r="F39" s="103">
        <f t="shared" si="3"/>
        <v>6.67</v>
      </c>
    </row>
    <row r="40" spans="2:6" ht="15.75" thickBot="1">
      <c r="B40" s="197" t="s">
        <v>277</v>
      </c>
      <c r="C40" s="198"/>
      <c r="D40" s="198"/>
      <c r="E40" s="198"/>
      <c r="F40" s="117">
        <f>SUM(F32:F39)</f>
        <v>27.92</v>
      </c>
    </row>
    <row r="41" spans="2:6" ht="15.75" thickBot="1"/>
    <row r="42" spans="2:6">
      <c r="B42" s="192" t="s">
        <v>284</v>
      </c>
      <c r="C42" s="193"/>
      <c r="D42" s="193"/>
      <c r="E42" s="193"/>
      <c r="F42" s="194"/>
    </row>
    <row r="43" spans="2:6" ht="15.75" thickBot="1">
      <c r="B43" s="113" t="s">
        <v>76</v>
      </c>
      <c r="C43" s="114" t="s">
        <v>270</v>
      </c>
      <c r="D43" s="114" t="s">
        <v>181</v>
      </c>
      <c r="E43" s="115" t="s">
        <v>278</v>
      </c>
      <c r="F43" s="116" t="s">
        <v>277</v>
      </c>
    </row>
    <row r="44" spans="2:6" ht="16.149999999999999" customHeight="1">
      <c r="B44" s="104" t="s">
        <v>285</v>
      </c>
      <c r="C44" s="101">
        <v>2</v>
      </c>
      <c r="D44" s="86">
        <v>20</v>
      </c>
      <c r="E44" s="86">
        <f t="shared" ref="E44:E53" si="4">D44*C44</f>
        <v>40</v>
      </c>
      <c r="F44" s="103">
        <f t="shared" ref="F44:F53" si="5">E44/12</f>
        <v>3.33</v>
      </c>
    </row>
    <row r="45" spans="2:6" ht="13.9" customHeight="1">
      <c r="B45" s="104" t="s">
        <v>275</v>
      </c>
      <c r="C45" s="101">
        <v>2</v>
      </c>
      <c r="D45" s="86">
        <v>40</v>
      </c>
      <c r="E45" s="86">
        <f t="shared" si="4"/>
        <v>80</v>
      </c>
      <c r="F45" s="103">
        <f t="shared" si="5"/>
        <v>6.67</v>
      </c>
    </row>
    <row r="46" spans="2:6">
      <c r="B46" s="109" t="s">
        <v>268</v>
      </c>
      <c r="C46" s="110">
        <v>2</v>
      </c>
      <c r="D46" s="111">
        <v>40</v>
      </c>
      <c r="E46" s="111">
        <f t="shared" si="4"/>
        <v>80</v>
      </c>
      <c r="F46" s="112">
        <f t="shared" si="5"/>
        <v>6.67</v>
      </c>
    </row>
    <row r="47" spans="2:6">
      <c r="B47" s="102" t="s">
        <v>271</v>
      </c>
      <c r="C47" s="87">
        <v>2</v>
      </c>
      <c r="D47" s="86">
        <v>17</v>
      </c>
      <c r="E47" s="86">
        <f t="shared" si="4"/>
        <v>34</v>
      </c>
      <c r="F47" s="103">
        <f t="shared" si="5"/>
        <v>2.83</v>
      </c>
    </row>
    <row r="48" spans="2:6">
      <c r="B48" s="102" t="s">
        <v>272</v>
      </c>
      <c r="C48" s="87">
        <v>2</v>
      </c>
      <c r="D48" s="86">
        <v>20</v>
      </c>
      <c r="E48" s="86">
        <f t="shared" si="4"/>
        <v>40</v>
      </c>
      <c r="F48" s="103">
        <f t="shared" si="5"/>
        <v>3.33</v>
      </c>
    </row>
    <row r="49" spans="1:7">
      <c r="B49" s="102" t="s">
        <v>273</v>
      </c>
      <c r="C49" s="87">
        <v>1</v>
      </c>
      <c r="D49" s="86">
        <v>5</v>
      </c>
      <c r="E49" s="86">
        <f t="shared" si="4"/>
        <v>5</v>
      </c>
      <c r="F49" s="103">
        <f t="shared" si="5"/>
        <v>0.42</v>
      </c>
    </row>
    <row r="50" spans="1:7" ht="18" customHeight="1">
      <c r="B50" s="104" t="s">
        <v>286</v>
      </c>
      <c r="C50" s="87">
        <v>2</v>
      </c>
      <c r="D50" s="86">
        <v>12</v>
      </c>
      <c r="E50" s="86">
        <f t="shared" si="4"/>
        <v>24</v>
      </c>
      <c r="F50" s="103">
        <f t="shared" si="5"/>
        <v>2</v>
      </c>
    </row>
    <row r="51" spans="1:7" ht="18" customHeight="1">
      <c r="B51" s="104" t="s">
        <v>287</v>
      </c>
      <c r="C51" s="87">
        <v>2</v>
      </c>
      <c r="D51" s="86">
        <v>10</v>
      </c>
      <c r="E51" s="86">
        <f t="shared" si="4"/>
        <v>20</v>
      </c>
      <c r="F51" s="103">
        <f t="shared" si="5"/>
        <v>1.67</v>
      </c>
    </row>
    <row r="52" spans="1:7" ht="18" customHeight="1">
      <c r="B52" s="104" t="s">
        <v>288</v>
      </c>
      <c r="C52" s="87">
        <v>12</v>
      </c>
      <c r="D52" s="86">
        <v>15</v>
      </c>
      <c r="E52" s="86">
        <f t="shared" si="4"/>
        <v>180</v>
      </c>
      <c r="F52" s="103">
        <f t="shared" si="5"/>
        <v>15</v>
      </c>
    </row>
    <row r="53" spans="1:7" ht="18" customHeight="1" thickBot="1">
      <c r="B53" s="104" t="s">
        <v>274</v>
      </c>
      <c r="C53" s="87">
        <v>6</v>
      </c>
      <c r="D53" s="86">
        <v>3.5</v>
      </c>
      <c r="E53" s="86">
        <f t="shared" si="4"/>
        <v>21</v>
      </c>
      <c r="F53" s="103">
        <f t="shared" si="5"/>
        <v>1.75</v>
      </c>
    </row>
    <row r="54" spans="1:7" ht="15.75" thickBot="1">
      <c r="B54" s="197" t="s">
        <v>277</v>
      </c>
      <c r="C54" s="198"/>
      <c r="D54" s="198"/>
      <c r="E54" s="198"/>
      <c r="F54" s="117">
        <f>SUM(F44:F53)</f>
        <v>43.67</v>
      </c>
    </row>
    <row r="55" spans="1:7" ht="13.15" customHeight="1"/>
    <row r="56" spans="1:7">
      <c r="B56" s="195" t="s">
        <v>200</v>
      </c>
      <c r="C56" s="196"/>
      <c r="D56" s="196"/>
      <c r="E56" s="196"/>
      <c r="F56" s="196"/>
    </row>
    <row r="57" spans="1:7">
      <c r="B57" s="82" t="s">
        <v>76</v>
      </c>
      <c r="C57" s="83" t="s">
        <v>181</v>
      </c>
      <c r="D57" s="84" t="s">
        <v>100</v>
      </c>
      <c r="E57" s="83" t="s">
        <v>182</v>
      </c>
      <c r="F57" s="85">
        <v>1</v>
      </c>
    </row>
    <row r="58" spans="1:7">
      <c r="A58">
        <v>1</v>
      </c>
      <c r="B58" s="81" t="s">
        <v>201</v>
      </c>
      <c r="C58" s="86">
        <v>36</v>
      </c>
      <c r="D58" s="87">
        <v>20</v>
      </c>
      <c r="E58" s="86">
        <f>C58*D58</f>
        <v>720</v>
      </c>
      <c r="F58" s="86">
        <f>E58/$F$57</f>
        <v>720</v>
      </c>
      <c r="G58" s="90"/>
    </row>
    <row r="59" spans="1:7">
      <c r="A59">
        <v>2</v>
      </c>
      <c r="B59" s="81" t="s">
        <v>202</v>
      </c>
      <c r="C59" s="86">
        <v>64</v>
      </c>
      <c r="D59" s="87">
        <v>35</v>
      </c>
      <c r="E59" s="86">
        <f t="shared" ref="E59:E102" si="6">C59*D59</f>
        <v>2240</v>
      </c>
      <c r="F59" s="86">
        <f t="shared" ref="F59:F102" si="7">E59/$F$57</f>
        <v>2240</v>
      </c>
      <c r="G59" s="90"/>
    </row>
    <row r="60" spans="1:7">
      <c r="A60">
        <v>3</v>
      </c>
      <c r="B60" s="81" t="s">
        <v>203</v>
      </c>
      <c r="C60" s="86">
        <v>19.2</v>
      </c>
      <c r="D60" s="87">
        <v>40</v>
      </c>
      <c r="E60" s="86">
        <f t="shared" si="6"/>
        <v>768</v>
      </c>
      <c r="F60" s="86">
        <f t="shared" si="7"/>
        <v>768</v>
      </c>
      <c r="G60" s="90"/>
    </row>
    <row r="61" spans="1:7">
      <c r="A61">
        <v>4</v>
      </c>
      <c r="B61" s="81" t="s">
        <v>245</v>
      </c>
      <c r="C61" s="86">
        <v>4</v>
      </c>
      <c r="D61" s="87">
        <v>5</v>
      </c>
      <c r="E61" s="86">
        <f>C61*D61</f>
        <v>20</v>
      </c>
      <c r="F61" s="86">
        <f t="shared" si="7"/>
        <v>20</v>
      </c>
      <c r="G61" s="90"/>
    </row>
    <row r="62" spans="1:7">
      <c r="A62">
        <v>5</v>
      </c>
      <c r="B62" s="81" t="s">
        <v>246</v>
      </c>
      <c r="C62" s="86">
        <v>2.4</v>
      </c>
      <c r="D62" s="87">
        <v>10</v>
      </c>
      <c r="E62" s="86">
        <f t="shared" ref="E62:E64" si="8">C62*D62</f>
        <v>24</v>
      </c>
      <c r="F62" s="86">
        <f t="shared" si="7"/>
        <v>24</v>
      </c>
      <c r="G62" s="90"/>
    </row>
    <row r="63" spans="1:7">
      <c r="A63">
        <v>6</v>
      </c>
      <c r="B63" s="81" t="s">
        <v>247</v>
      </c>
      <c r="C63" s="86">
        <v>4</v>
      </c>
      <c r="D63" s="87">
        <v>15</v>
      </c>
      <c r="E63" s="86">
        <f t="shared" si="8"/>
        <v>60</v>
      </c>
      <c r="F63" s="86">
        <f t="shared" si="7"/>
        <v>60</v>
      </c>
      <c r="G63" s="90"/>
    </row>
    <row r="64" spans="1:7">
      <c r="A64">
        <v>7</v>
      </c>
      <c r="B64" s="81" t="s">
        <v>248</v>
      </c>
      <c r="C64" s="86">
        <v>5.6</v>
      </c>
      <c r="D64" s="87">
        <v>10</v>
      </c>
      <c r="E64" s="86">
        <f t="shared" si="8"/>
        <v>56</v>
      </c>
      <c r="F64" s="86">
        <f t="shared" si="7"/>
        <v>56</v>
      </c>
      <c r="G64" s="90"/>
    </row>
    <row r="65" spans="1:7">
      <c r="A65">
        <v>8</v>
      </c>
      <c r="B65" s="81" t="s">
        <v>204</v>
      </c>
      <c r="C65" s="86">
        <v>18.399999999999999</v>
      </c>
      <c r="D65" s="87">
        <v>2</v>
      </c>
      <c r="E65" s="86">
        <f t="shared" si="6"/>
        <v>36.799999999999997</v>
      </c>
      <c r="F65" s="86">
        <f t="shared" si="7"/>
        <v>36.799999999999997</v>
      </c>
      <c r="G65" s="90"/>
    </row>
    <row r="66" spans="1:7">
      <c r="A66">
        <v>9</v>
      </c>
      <c r="B66" s="81" t="s">
        <v>205</v>
      </c>
      <c r="C66" s="86">
        <v>20</v>
      </c>
      <c r="D66" s="87">
        <v>1</v>
      </c>
      <c r="E66" s="86">
        <f t="shared" si="6"/>
        <v>20</v>
      </c>
      <c r="F66" s="86">
        <f t="shared" si="7"/>
        <v>20</v>
      </c>
      <c r="G66" s="90"/>
    </row>
    <row r="67" spans="1:7">
      <c r="A67">
        <v>10</v>
      </c>
      <c r="B67" s="81" t="s">
        <v>206</v>
      </c>
      <c r="C67" s="86">
        <v>3.6</v>
      </c>
      <c r="D67" s="87">
        <v>150</v>
      </c>
      <c r="E67" s="86">
        <f t="shared" si="6"/>
        <v>540</v>
      </c>
      <c r="F67" s="86">
        <f t="shared" si="7"/>
        <v>540</v>
      </c>
      <c r="G67" s="90"/>
    </row>
    <row r="68" spans="1:7">
      <c r="A68">
        <v>11</v>
      </c>
      <c r="B68" s="81" t="s">
        <v>207</v>
      </c>
      <c r="C68" s="86">
        <v>25.6</v>
      </c>
      <c r="D68" s="87">
        <v>10</v>
      </c>
      <c r="E68" s="86">
        <f t="shared" si="6"/>
        <v>256</v>
      </c>
      <c r="F68" s="86">
        <f t="shared" si="7"/>
        <v>256</v>
      </c>
      <c r="G68" s="90"/>
    </row>
    <row r="69" spans="1:7">
      <c r="A69">
        <v>12</v>
      </c>
      <c r="B69" s="81" t="s">
        <v>208</v>
      </c>
      <c r="C69" s="86">
        <v>4.96</v>
      </c>
      <c r="D69" s="87">
        <v>100</v>
      </c>
      <c r="E69" s="86">
        <f t="shared" si="6"/>
        <v>496</v>
      </c>
      <c r="F69" s="86">
        <f t="shared" si="7"/>
        <v>496</v>
      </c>
      <c r="G69" s="90"/>
    </row>
    <row r="70" spans="1:7">
      <c r="A70">
        <v>13</v>
      </c>
      <c r="B70" s="81" t="s">
        <v>209</v>
      </c>
      <c r="C70" s="86">
        <v>76</v>
      </c>
      <c r="D70" s="87">
        <v>10</v>
      </c>
      <c r="E70" s="86">
        <f t="shared" si="6"/>
        <v>760</v>
      </c>
      <c r="F70" s="86">
        <f t="shared" si="7"/>
        <v>760</v>
      </c>
      <c r="G70" s="90"/>
    </row>
    <row r="71" spans="1:7">
      <c r="A71">
        <v>14</v>
      </c>
      <c r="B71" s="81" t="s">
        <v>210</v>
      </c>
      <c r="C71" s="86">
        <v>1.92</v>
      </c>
      <c r="D71" s="87">
        <v>20</v>
      </c>
      <c r="E71" s="86">
        <f t="shared" si="6"/>
        <v>38.4</v>
      </c>
      <c r="F71" s="86">
        <f t="shared" si="7"/>
        <v>38.4</v>
      </c>
      <c r="G71" s="90"/>
    </row>
    <row r="72" spans="1:7">
      <c r="A72">
        <v>15</v>
      </c>
      <c r="B72" s="81" t="s">
        <v>211</v>
      </c>
      <c r="C72" s="86">
        <v>8.16</v>
      </c>
      <c r="D72" s="87">
        <v>12</v>
      </c>
      <c r="E72" s="86">
        <f t="shared" si="6"/>
        <v>97.92</v>
      </c>
      <c r="F72" s="86">
        <f t="shared" si="7"/>
        <v>97.92</v>
      </c>
      <c r="G72" s="90"/>
    </row>
    <row r="73" spans="1:7">
      <c r="A73">
        <v>16</v>
      </c>
      <c r="B73" s="81" t="s">
        <v>212</v>
      </c>
      <c r="C73" s="86">
        <v>4.16</v>
      </c>
      <c r="D73" s="87">
        <v>8</v>
      </c>
      <c r="E73" s="86">
        <f t="shared" si="6"/>
        <v>33.28</v>
      </c>
      <c r="F73" s="86">
        <f t="shared" si="7"/>
        <v>33.28</v>
      </c>
      <c r="G73" s="90"/>
    </row>
    <row r="74" spans="1:7">
      <c r="A74">
        <v>17</v>
      </c>
      <c r="B74" s="81" t="s">
        <v>213</v>
      </c>
      <c r="C74" s="86">
        <v>3.04</v>
      </c>
      <c r="D74" s="87">
        <v>8</v>
      </c>
      <c r="E74" s="86">
        <f t="shared" si="6"/>
        <v>24.32</v>
      </c>
      <c r="F74" s="86">
        <f t="shared" si="7"/>
        <v>24.32</v>
      </c>
      <c r="G74" s="90"/>
    </row>
    <row r="75" spans="1:7">
      <c r="A75">
        <v>18</v>
      </c>
      <c r="B75" s="81" t="s">
        <v>214</v>
      </c>
      <c r="C75" s="86">
        <v>2.84</v>
      </c>
      <c r="D75" s="87">
        <v>12</v>
      </c>
      <c r="E75" s="86">
        <f t="shared" si="6"/>
        <v>34.08</v>
      </c>
      <c r="F75" s="86">
        <f t="shared" si="7"/>
        <v>34.08</v>
      </c>
      <c r="G75" s="90"/>
    </row>
    <row r="76" spans="1:7">
      <c r="A76">
        <v>19</v>
      </c>
      <c r="B76" s="81" t="s">
        <v>215</v>
      </c>
      <c r="C76" s="86">
        <v>32</v>
      </c>
      <c r="D76" s="87">
        <v>8</v>
      </c>
      <c r="E76" s="86">
        <f t="shared" si="6"/>
        <v>256</v>
      </c>
      <c r="F76" s="86">
        <f t="shared" si="7"/>
        <v>256</v>
      </c>
      <c r="G76" s="90"/>
    </row>
    <row r="77" spans="1:7">
      <c r="A77">
        <v>20</v>
      </c>
      <c r="B77" s="81" t="s">
        <v>216</v>
      </c>
      <c r="C77" s="86">
        <v>3.44</v>
      </c>
      <c r="D77" s="87">
        <v>8</v>
      </c>
      <c r="E77" s="86">
        <f t="shared" si="6"/>
        <v>27.52</v>
      </c>
      <c r="F77" s="86">
        <f t="shared" si="7"/>
        <v>27.52</v>
      </c>
      <c r="G77" s="90"/>
    </row>
    <row r="78" spans="1:7">
      <c r="A78">
        <v>21</v>
      </c>
      <c r="B78" s="81" t="s">
        <v>217</v>
      </c>
      <c r="C78" s="86">
        <v>20</v>
      </c>
      <c r="D78" s="87">
        <v>2</v>
      </c>
      <c r="E78" s="86">
        <f t="shared" si="6"/>
        <v>40</v>
      </c>
      <c r="F78" s="86">
        <f t="shared" si="7"/>
        <v>40</v>
      </c>
      <c r="G78" s="90"/>
    </row>
    <row r="79" spans="1:7">
      <c r="A79">
        <v>22</v>
      </c>
      <c r="B79" s="81" t="s">
        <v>218</v>
      </c>
      <c r="C79" s="86">
        <v>88</v>
      </c>
      <c r="D79" s="87">
        <v>1</v>
      </c>
      <c r="E79" s="86">
        <f t="shared" si="6"/>
        <v>88</v>
      </c>
      <c r="F79" s="86">
        <f t="shared" si="7"/>
        <v>88</v>
      </c>
      <c r="G79" s="90"/>
    </row>
    <row r="80" spans="1:7">
      <c r="A80">
        <v>23</v>
      </c>
      <c r="B80" s="81" t="s">
        <v>219</v>
      </c>
      <c r="C80" s="86">
        <v>8</v>
      </c>
      <c r="D80" s="87">
        <v>20</v>
      </c>
      <c r="E80" s="86">
        <f t="shared" si="6"/>
        <v>160</v>
      </c>
      <c r="F80" s="86">
        <f t="shared" si="7"/>
        <v>160</v>
      </c>
      <c r="G80" s="90"/>
    </row>
    <row r="81" spans="1:7">
      <c r="A81">
        <v>24</v>
      </c>
      <c r="B81" s="81" t="s">
        <v>220</v>
      </c>
      <c r="C81" s="86">
        <v>1.04</v>
      </c>
      <c r="D81" s="87">
        <v>120</v>
      </c>
      <c r="E81" s="86">
        <f t="shared" si="6"/>
        <v>124.8</v>
      </c>
      <c r="F81" s="86">
        <f t="shared" si="7"/>
        <v>124.8</v>
      </c>
      <c r="G81" s="90"/>
    </row>
    <row r="82" spans="1:7">
      <c r="A82">
        <v>25</v>
      </c>
      <c r="B82" s="81" t="s">
        <v>221</v>
      </c>
      <c r="C82" s="86">
        <v>6.32</v>
      </c>
      <c r="D82" s="87">
        <v>100</v>
      </c>
      <c r="E82" s="86">
        <f t="shared" si="6"/>
        <v>632</v>
      </c>
      <c r="F82" s="86">
        <f t="shared" si="7"/>
        <v>632</v>
      </c>
      <c r="G82" s="90"/>
    </row>
    <row r="83" spans="1:7">
      <c r="A83">
        <v>26</v>
      </c>
      <c r="B83" s="81" t="s">
        <v>222</v>
      </c>
      <c r="C83" s="86">
        <v>1.68</v>
      </c>
      <c r="D83" s="87">
        <v>120</v>
      </c>
      <c r="E83" s="86">
        <f t="shared" si="6"/>
        <v>201.6</v>
      </c>
      <c r="F83" s="86">
        <f t="shared" si="7"/>
        <v>201.6</v>
      </c>
      <c r="G83" s="90"/>
    </row>
    <row r="84" spans="1:7">
      <c r="A84">
        <v>27</v>
      </c>
      <c r="B84" s="81" t="s">
        <v>249</v>
      </c>
      <c r="C84" s="86">
        <v>8</v>
      </c>
      <c r="D84" s="87">
        <v>4</v>
      </c>
      <c r="E84" s="86">
        <f>C84*D84</f>
        <v>32</v>
      </c>
      <c r="F84" s="86">
        <f t="shared" si="7"/>
        <v>32</v>
      </c>
      <c r="G84" s="90"/>
    </row>
    <row r="85" spans="1:7">
      <c r="A85">
        <v>28</v>
      </c>
      <c r="B85" s="81" t="s">
        <v>250</v>
      </c>
      <c r="C85" s="86">
        <v>12</v>
      </c>
      <c r="D85" s="87">
        <v>4</v>
      </c>
      <c r="E85" s="86">
        <f>C85*D85</f>
        <v>48</v>
      </c>
      <c r="F85" s="86">
        <f t="shared" si="7"/>
        <v>48</v>
      </c>
      <c r="G85" s="90"/>
    </row>
    <row r="86" spans="1:7">
      <c r="A86">
        <v>29</v>
      </c>
      <c r="B86" s="81" t="s">
        <v>252</v>
      </c>
      <c r="C86" s="86">
        <v>12.8</v>
      </c>
      <c r="D86" s="87">
        <v>4</v>
      </c>
      <c r="E86" s="86">
        <f>C86*D86</f>
        <v>51.2</v>
      </c>
      <c r="F86" s="86">
        <f t="shared" si="7"/>
        <v>51.2</v>
      </c>
      <c r="G86" s="90"/>
    </row>
    <row r="87" spans="1:7">
      <c r="A87">
        <v>30</v>
      </c>
      <c r="B87" s="81" t="s">
        <v>251</v>
      </c>
      <c r="C87" s="86">
        <v>72</v>
      </c>
      <c r="D87" s="87">
        <v>4</v>
      </c>
      <c r="E87" s="86">
        <f>C87*D87</f>
        <v>288</v>
      </c>
      <c r="F87" s="86">
        <f t="shared" si="7"/>
        <v>288</v>
      </c>
      <c r="G87" s="90"/>
    </row>
    <row r="88" spans="1:7">
      <c r="A88">
        <v>31</v>
      </c>
      <c r="B88" s="81" t="s">
        <v>223</v>
      </c>
      <c r="C88" s="86">
        <v>2.38</v>
      </c>
      <c r="D88" s="87">
        <v>150</v>
      </c>
      <c r="E88" s="86">
        <f t="shared" si="6"/>
        <v>357</v>
      </c>
      <c r="F88" s="86">
        <f t="shared" si="7"/>
        <v>357</v>
      </c>
      <c r="G88" s="90"/>
    </row>
    <row r="89" spans="1:7">
      <c r="A89">
        <v>32</v>
      </c>
      <c r="B89" s="81" t="s">
        <v>224</v>
      </c>
      <c r="C89" s="86">
        <v>6.76</v>
      </c>
      <c r="D89" s="87">
        <v>30</v>
      </c>
      <c r="E89" s="86">
        <f t="shared" si="6"/>
        <v>202.8</v>
      </c>
      <c r="F89" s="86">
        <f t="shared" si="7"/>
        <v>202.8</v>
      </c>
      <c r="G89" s="90"/>
    </row>
    <row r="90" spans="1:7">
      <c r="A90">
        <v>33</v>
      </c>
      <c r="B90" s="81" t="s">
        <v>225</v>
      </c>
      <c r="C90" s="86">
        <v>8</v>
      </c>
      <c r="D90" s="87">
        <v>30</v>
      </c>
      <c r="E90" s="86">
        <f t="shared" si="6"/>
        <v>240</v>
      </c>
      <c r="F90" s="86">
        <f t="shared" si="7"/>
        <v>240</v>
      </c>
      <c r="G90" s="90"/>
    </row>
    <row r="91" spans="1:7">
      <c r="A91">
        <v>34</v>
      </c>
      <c r="B91" s="81" t="s">
        <v>226</v>
      </c>
      <c r="C91" s="86">
        <v>14.72</v>
      </c>
      <c r="D91" s="87">
        <v>30</v>
      </c>
      <c r="E91" s="86">
        <f t="shared" si="6"/>
        <v>441.6</v>
      </c>
      <c r="F91" s="86">
        <f t="shared" si="7"/>
        <v>441.6</v>
      </c>
      <c r="G91" s="90"/>
    </row>
    <row r="92" spans="1:7">
      <c r="A92">
        <v>35</v>
      </c>
      <c r="B92" s="81" t="s">
        <v>227</v>
      </c>
      <c r="C92" s="86">
        <v>30.4</v>
      </c>
      <c r="D92" s="87">
        <v>30</v>
      </c>
      <c r="E92" s="86">
        <f t="shared" si="6"/>
        <v>912</v>
      </c>
      <c r="F92" s="86">
        <f t="shared" si="7"/>
        <v>912</v>
      </c>
      <c r="G92" s="90"/>
    </row>
    <row r="93" spans="1:7">
      <c r="A93">
        <v>36</v>
      </c>
      <c r="B93" s="81" t="s">
        <v>228</v>
      </c>
      <c r="C93" s="86">
        <v>44</v>
      </c>
      <c r="D93" s="87">
        <v>20</v>
      </c>
      <c r="E93" s="86">
        <f t="shared" si="6"/>
        <v>880</v>
      </c>
      <c r="F93" s="86">
        <f t="shared" si="7"/>
        <v>880</v>
      </c>
      <c r="G93" s="90"/>
    </row>
    <row r="94" spans="1:7">
      <c r="A94">
        <v>37</v>
      </c>
      <c r="B94" s="81" t="s">
        <v>229</v>
      </c>
      <c r="C94" s="86">
        <v>11.2</v>
      </c>
      <c r="D94" s="87">
        <v>3</v>
      </c>
      <c r="E94" s="86">
        <f t="shared" si="6"/>
        <v>33.6</v>
      </c>
      <c r="F94" s="86">
        <f t="shared" si="7"/>
        <v>33.6</v>
      </c>
      <c r="G94" s="90"/>
    </row>
    <row r="95" spans="1:7">
      <c r="A95">
        <v>38</v>
      </c>
      <c r="B95" s="81" t="s">
        <v>298</v>
      </c>
      <c r="C95" s="86">
        <v>9.6</v>
      </c>
      <c r="D95" s="87">
        <v>5</v>
      </c>
      <c r="E95" s="86">
        <f t="shared" si="6"/>
        <v>48</v>
      </c>
      <c r="F95" s="86">
        <f t="shared" si="7"/>
        <v>48</v>
      </c>
      <c r="G95" s="90"/>
    </row>
    <row r="96" spans="1:7">
      <c r="A96">
        <v>39</v>
      </c>
      <c r="B96" s="81" t="s">
        <v>230</v>
      </c>
      <c r="C96" s="86">
        <v>14.4</v>
      </c>
      <c r="D96" s="87">
        <v>20</v>
      </c>
      <c r="E96" s="86">
        <f t="shared" si="6"/>
        <v>288</v>
      </c>
      <c r="F96" s="86">
        <f t="shared" si="7"/>
        <v>288</v>
      </c>
      <c r="G96" s="90"/>
    </row>
    <row r="97" spans="1:7">
      <c r="A97">
        <v>40</v>
      </c>
      <c r="B97" s="81" t="s">
        <v>231</v>
      </c>
      <c r="C97" s="86">
        <v>14.4</v>
      </c>
      <c r="D97" s="87">
        <v>20</v>
      </c>
      <c r="E97" s="86">
        <f t="shared" si="6"/>
        <v>288</v>
      </c>
      <c r="F97" s="86">
        <f t="shared" si="7"/>
        <v>288</v>
      </c>
      <c r="G97" s="90"/>
    </row>
    <row r="98" spans="1:7">
      <c r="A98">
        <v>41</v>
      </c>
      <c r="B98" s="81" t="s">
        <v>232</v>
      </c>
      <c r="C98" s="86">
        <v>14.4</v>
      </c>
      <c r="D98" s="87">
        <v>20</v>
      </c>
      <c r="E98" s="86">
        <f t="shared" si="6"/>
        <v>288</v>
      </c>
      <c r="F98" s="86">
        <f t="shared" si="7"/>
        <v>288</v>
      </c>
      <c r="G98" s="90"/>
    </row>
    <row r="99" spans="1:7">
      <c r="A99">
        <v>42</v>
      </c>
      <c r="B99" s="81" t="s">
        <v>233</v>
      </c>
      <c r="C99" s="86">
        <v>5.76</v>
      </c>
      <c r="D99" s="87">
        <v>200</v>
      </c>
      <c r="E99" s="86">
        <f t="shared" si="6"/>
        <v>1152</v>
      </c>
      <c r="F99" s="86">
        <f t="shared" si="7"/>
        <v>1152</v>
      </c>
      <c r="G99" s="90"/>
    </row>
    <row r="100" spans="1:7">
      <c r="A100">
        <v>43</v>
      </c>
      <c r="B100" s="81" t="s">
        <v>234</v>
      </c>
      <c r="C100" s="86">
        <v>5.76</v>
      </c>
      <c r="D100" s="87">
        <v>240</v>
      </c>
      <c r="E100" s="86">
        <f t="shared" si="6"/>
        <v>1382.4</v>
      </c>
      <c r="F100" s="86">
        <f t="shared" si="7"/>
        <v>1382.4</v>
      </c>
      <c r="G100" s="90"/>
    </row>
    <row r="101" spans="1:7">
      <c r="A101">
        <v>44</v>
      </c>
      <c r="B101" s="81" t="s">
        <v>235</v>
      </c>
      <c r="C101" s="86">
        <v>5.76</v>
      </c>
      <c r="D101" s="87">
        <v>240</v>
      </c>
      <c r="E101" s="86">
        <f t="shared" si="6"/>
        <v>1382.4</v>
      </c>
      <c r="F101" s="86">
        <f t="shared" si="7"/>
        <v>1382.4</v>
      </c>
      <c r="G101" s="90"/>
    </row>
    <row r="102" spans="1:7">
      <c r="A102">
        <v>45</v>
      </c>
      <c r="B102" s="81" t="s">
        <v>236</v>
      </c>
      <c r="C102" s="86">
        <v>5.76</v>
      </c>
      <c r="D102" s="87">
        <v>180</v>
      </c>
      <c r="E102" s="86">
        <f t="shared" si="6"/>
        <v>1036.8</v>
      </c>
      <c r="F102" s="86">
        <f t="shared" si="7"/>
        <v>1036.8</v>
      </c>
      <c r="G102" s="90"/>
    </row>
    <row r="103" spans="1:7">
      <c r="B103" s="199"/>
      <c r="C103" s="200"/>
      <c r="D103" s="200"/>
      <c r="E103" s="200"/>
      <c r="F103" s="88">
        <f>SUM(F58:F102)</f>
        <v>17106.52</v>
      </c>
      <c r="G103" s="90"/>
    </row>
    <row r="104" spans="1:7">
      <c r="D104" s="89"/>
      <c r="G104" s="90"/>
    </row>
    <row r="105" spans="1:7">
      <c r="B105" s="195" t="s">
        <v>299</v>
      </c>
      <c r="C105" s="196"/>
      <c r="D105" s="196"/>
      <c r="E105" s="196"/>
      <c r="F105" s="196"/>
      <c r="G105" s="90"/>
    </row>
    <row r="106" spans="1:7">
      <c r="B106" s="82" t="s">
        <v>76</v>
      </c>
      <c r="C106" s="83" t="s">
        <v>181</v>
      </c>
      <c r="D106" s="84" t="s">
        <v>100</v>
      </c>
      <c r="E106" s="83" t="s">
        <v>182</v>
      </c>
      <c r="F106" s="85">
        <v>30</v>
      </c>
      <c r="G106" s="90"/>
    </row>
    <row r="107" spans="1:7">
      <c r="A107">
        <v>1</v>
      </c>
      <c r="B107" s="81" t="s">
        <v>253</v>
      </c>
      <c r="C107" s="86">
        <v>93.6</v>
      </c>
      <c r="D107" s="87">
        <v>2</v>
      </c>
      <c r="E107" s="86">
        <f t="shared" ref="E107:E115" si="9">C107*D107</f>
        <v>187.2</v>
      </c>
      <c r="F107" s="86">
        <f>E107/$F$106</f>
        <v>6.24</v>
      </c>
      <c r="G107" s="90"/>
    </row>
    <row r="108" spans="1:7">
      <c r="A108">
        <v>2</v>
      </c>
      <c r="B108" s="81" t="s">
        <v>254</v>
      </c>
      <c r="C108" s="86">
        <v>176</v>
      </c>
      <c r="D108" s="87">
        <v>2</v>
      </c>
      <c r="E108" s="86">
        <f t="shared" si="9"/>
        <v>352</v>
      </c>
      <c r="F108" s="86">
        <f t="shared" ref="F108:F124" si="10">E108/$F$106</f>
        <v>11.73</v>
      </c>
      <c r="G108" s="90"/>
    </row>
    <row r="109" spans="1:7">
      <c r="A109">
        <v>3</v>
      </c>
      <c r="B109" s="81" t="s">
        <v>255</v>
      </c>
      <c r="C109" s="86">
        <v>65.599999999999994</v>
      </c>
      <c r="D109" s="87">
        <v>10</v>
      </c>
      <c r="E109" s="86">
        <f t="shared" si="9"/>
        <v>656</v>
      </c>
      <c r="F109" s="86">
        <f t="shared" si="10"/>
        <v>21.87</v>
      </c>
      <c r="G109" s="90"/>
    </row>
    <row r="110" spans="1:7">
      <c r="A110">
        <v>4</v>
      </c>
      <c r="B110" s="81" t="s">
        <v>237</v>
      </c>
      <c r="C110" s="86">
        <v>14</v>
      </c>
      <c r="D110" s="87">
        <v>80</v>
      </c>
      <c r="E110" s="86">
        <f>C110*D110</f>
        <v>1120</v>
      </c>
      <c r="F110" s="86">
        <f t="shared" si="10"/>
        <v>37.33</v>
      </c>
      <c r="G110" s="90"/>
    </row>
    <row r="111" spans="1:7">
      <c r="A111">
        <v>5</v>
      </c>
      <c r="B111" s="81" t="s">
        <v>256</v>
      </c>
      <c r="C111" s="86">
        <v>26.4</v>
      </c>
      <c r="D111" s="87">
        <v>20</v>
      </c>
      <c r="E111" s="86">
        <f t="shared" si="9"/>
        <v>528</v>
      </c>
      <c r="F111" s="86">
        <f t="shared" si="10"/>
        <v>17.600000000000001</v>
      </c>
      <c r="G111" s="90"/>
    </row>
    <row r="112" spans="1:7">
      <c r="A112">
        <v>6</v>
      </c>
      <c r="B112" s="81" t="s">
        <v>257</v>
      </c>
      <c r="C112" s="86">
        <v>30.4</v>
      </c>
      <c r="D112" s="87">
        <v>20</v>
      </c>
      <c r="E112" s="86">
        <f t="shared" si="9"/>
        <v>608</v>
      </c>
      <c r="F112" s="86">
        <f t="shared" si="10"/>
        <v>20.27</v>
      </c>
      <c r="G112" s="90"/>
    </row>
    <row r="113" spans="1:7">
      <c r="A113">
        <v>7</v>
      </c>
      <c r="B113" s="81" t="s">
        <v>258</v>
      </c>
      <c r="C113" s="86">
        <v>24</v>
      </c>
      <c r="D113" s="87">
        <v>20</v>
      </c>
      <c r="E113" s="86">
        <f t="shared" si="9"/>
        <v>480</v>
      </c>
      <c r="F113" s="86">
        <f t="shared" si="10"/>
        <v>16</v>
      </c>
      <c r="G113" s="90"/>
    </row>
    <row r="114" spans="1:7">
      <c r="A114">
        <v>8</v>
      </c>
      <c r="B114" s="81" t="s">
        <v>257</v>
      </c>
      <c r="C114" s="86">
        <v>48</v>
      </c>
      <c r="D114" s="87">
        <v>20</v>
      </c>
      <c r="E114" s="86">
        <f t="shared" si="9"/>
        <v>960</v>
      </c>
      <c r="F114" s="86">
        <f t="shared" si="10"/>
        <v>32</v>
      </c>
      <c r="G114" s="90"/>
    </row>
    <row r="115" spans="1:7">
      <c r="A115">
        <v>9</v>
      </c>
      <c r="B115" s="81" t="s">
        <v>258</v>
      </c>
      <c r="C115" s="86">
        <v>24</v>
      </c>
      <c r="D115" s="87">
        <v>20</v>
      </c>
      <c r="E115" s="86">
        <f t="shared" si="9"/>
        <v>480</v>
      </c>
      <c r="F115" s="86">
        <f t="shared" si="10"/>
        <v>16</v>
      </c>
      <c r="G115" s="90"/>
    </row>
    <row r="116" spans="1:7">
      <c r="A116">
        <v>10</v>
      </c>
      <c r="B116" s="81" t="s">
        <v>195</v>
      </c>
      <c r="C116" s="86">
        <v>1280</v>
      </c>
      <c r="D116" s="87">
        <v>5</v>
      </c>
      <c r="E116" s="86">
        <f>C116*D116</f>
        <v>6400</v>
      </c>
      <c r="F116" s="86">
        <f t="shared" si="10"/>
        <v>213.33</v>
      </c>
      <c r="G116" s="90"/>
    </row>
    <row r="117" spans="1:7">
      <c r="A117">
        <v>11</v>
      </c>
      <c r="B117" s="81" t="s">
        <v>238</v>
      </c>
      <c r="C117" s="86">
        <v>12</v>
      </c>
      <c r="D117" s="87">
        <v>25</v>
      </c>
      <c r="E117" s="86">
        <f>C117*D117</f>
        <v>300</v>
      </c>
      <c r="F117" s="86">
        <f t="shared" si="10"/>
        <v>10</v>
      </c>
      <c r="G117" s="90"/>
    </row>
    <row r="118" spans="1:7">
      <c r="A118">
        <v>12</v>
      </c>
      <c r="B118" s="81" t="s">
        <v>198</v>
      </c>
      <c r="C118" s="86">
        <v>44</v>
      </c>
      <c r="D118" s="87">
        <v>20</v>
      </c>
      <c r="E118" s="86">
        <f>C118*D118</f>
        <v>880</v>
      </c>
      <c r="F118" s="86">
        <f t="shared" si="10"/>
        <v>29.33</v>
      </c>
      <c r="G118" s="90"/>
    </row>
    <row r="119" spans="1:7">
      <c r="A119">
        <v>13</v>
      </c>
      <c r="B119" s="81" t="s">
        <v>300</v>
      </c>
      <c r="C119" s="86">
        <v>120</v>
      </c>
      <c r="D119" s="87">
        <v>6</v>
      </c>
      <c r="E119" s="86">
        <f t="shared" ref="E119:E121" si="11">C119*D119</f>
        <v>720</v>
      </c>
      <c r="F119" s="86">
        <f t="shared" si="10"/>
        <v>24</v>
      </c>
      <c r="G119" s="90"/>
    </row>
    <row r="120" spans="1:7">
      <c r="A120">
        <v>14</v>
      </c>
      <c r="B120" s="81" t="s">
        <v>301</v>
      </c>
      <c r="C120" s="86">
        <v>48</v>
      </c>
      <c r="D120" s="87">
        <v>6</v>
      </c>
      <c r="E120" s="86">
        <f t="shared" si="11"/>
        <v>288</v>
      </c>
      <c r="F120" s="86">
        <f t="shared" si="10"/>
        <v>9.6</v>
      </c>
      <c r="G120" s="90"/>
    </row>
    <row r="121" spans="1:7">
      <c r="A121">
        <v>15</v>
      </c>
      <c r="B121" s="81" t="s">
        <v>302</v>
      </c>
      <c r="C121" s="86">
        <v>160</v>
      </c>
      <c r="D121" s="87">
        <v>5</v>
      </c>
      <c r="E121" s="86">
        <f t="shared" si="11"/>
        <v>800</v>
      </c>
      <c r="F121" s="86">
        <f t="shared" si="10"/>
        <v>26.67</v>
      </c>
      <c r="G121" s="90"/>
    </row>
    <row r="122" spans="1:7">
      <c r="A122">
        <v>16</v>
      </c>
      <c r="B122" s="81" t="s">
        <v>196</v>
      </c>
      <c r="C122" s="86">
        <v>120</v>
      </c>
      <c r="D122" s="87">
        <v>8</v>
      </c>
      <c r="E122" s="86">
        <f>C122*D122</f>
        <v>960</v>
      </c>
      <c r="F122" s="86">
        <f t="shared" si="10"/>
        <v>32</v>
      </c>
      <c r="G122" s="90"/>
    </row>
    <row r="123" spans="1:7">
      <c r="A123">
        <v>17</v>
      </c>
      <c r="B123" s="81" t="s">
        <v>197</v>
      </c>
      <c r="C123" s="86">
        <v>160</v>
      </c>
      <c r="D123" s="87">
        <v>6</v>
      </c>
      <c r="E123" s="86">
        <f>C123*D123</f>
        <v>960</v>
      </c>
      <c r="F123" s="86">
        <f t="shared" si="10"/>
        <v>32</v>
      </c>
      <c r="G123" s="90"/>
    </row>
    <row r="124" spans="1:7">
      <c r="A124">
        <v>18</v>
      </c>
      <c r="B124" s="81" t="s">
        <v>199</v>
      </c>
      <c r="C124" s="86">
        <v>200</v>
      </c>
      <c r="D124" s="87">
        <v>8</v>
      </c>
      <c r="E124" s="86">
        <f>C124*D124</f>
        <v>1600</v>
      </c>
      <c r="F124" s="86">
        <f t="shared" si="10"/>
        <v>53.33</v>
      </c>
      <c r="G124" s="90"/>
    </row>
    <row r="125" spans="1:7">
      <c r="B125" s="199"/>
      <c r="C125" s="200"/>
      <c r="D125" s="200"/>
      <c r="E125" s="200"/>
      <c r="F125" s="88">
        <f>SUM(F107:F124)</f>
        <v>609.29999999999995</v>
      </c>
      <c r="G125" s="90"/>
    </row>
    <row r="126" spans="1:7">
      <c r="B126" s="123"/>
      <c r="C126" s="123"/>
      <c r="D126" s="123"/>
      <c r="E126" s="123"/>
      <c r="F126" s="124"/>
      <c r="G126" s="90"/>
    </row>
    <row r="127" spans="1:7">
      <c r="B127" s="195" t="s">
        <v>304</v>
      </c>
      <c r="C127" s="196"/>
      <c r="D127" s="196"/>
      <c r="E127" s="196"/>
      <c r="F127" s="196"/>
      <c r="G127" s="90"/>
    </row>
    <row r="128" spans="1:7">
      <c r="B128" s="82" t="s">
        <v>76</v>
      </c>
      <c r="C128" s="83" t="s">
        <v>181</v>
      </c>
      <c r="D128" s="84" t="s">
        <v>100</v>
      </c>
      <c r="E128" s="83" t="s">
        <v>182</v>
      </c>
      <c r="F128" s="85">
        <v>1</v>
      </c>
      <c r="G128" s="90"/>
    </row>
    <row r="129" spans="1:7">
      <c r="A129">
        <v>1</v>
      </c>
      <c r="B129" s="81" t="s">
        <v>239</v>
      </c>
      <c r="C129" s="86">
        <v>67.84</v>
      </c>
      <c r="D129" s="87">
        <v>60</v>
      </c>
      <c r="E129" s="86">
        <f t="shared" ref="E129:E134" si="12">C129*D129</f>
        <v>4070.4</v>
      </c>
      <c r="F129" s="86">
        <f t="shared" ref="F129:F134" si="13">E129/$F$128</f>
        <v>4070.4</v>
      </c>
      <c r="G129" s="90"/>
    </row>
    <row r="130" spans="1:7">
      <c r="A130">
        <v>2</v>
      </c>
      <c r="B130" s="81" t="s">
        <v>240</v>
      </c>
      <c r="C130" s="86">
        <v>3.87</v>
      </c>
      <c r="D130" s="87">
        <v>1120</v>
      </c>
      <c r="E130" s="86">
        <f t="shared" si="12"/>
        <v>4334.3999999999996</v>
      </c>
      <c r="F130" s="86">
        <f t="shared" si="13"/>
        <v>4334.3999999999996</v>
      </c>
      <c r="G130" s="90"/>
    </row>
    <row r="131" spans="1:7">
      <c r="A131">
        <v>3</v>
      </c>
      <c r="B131" s="81" t="s">
        <v>241</v>
      </c>
      <c r="C131" s="86">
        <v>4.8</v>
      </c>
      <c r="D131" s="87">
        <v>80</v>
      </c>
      <c r="E131" s="86">
        <f t="shared" si="12"/>
        <v>384</v>
      </c>
      <c r="F131" s="86">
        <f t="shared" si="13"/>
        <v>384</v>
      </c>
      <c r="G131" s="90"/>
    </row>
    <row r="132" spans="1:7">
      <c r="A132">
        <v>4</v>
      </c>
      <c r="B132" s="81" t="s">
        <v>242</v>
      </c>
      <c r="C132" s="86">
        <v>8.9600000000000009</v>
      </c>
      <c r="D132" s="87">
        <v>600</v>
      </c>
      <c r="E132" s="86">
        <f t="shared" si="12"/>
        <v>5376</v>
      </c>
      <c r="F132" s="86">
        <f t="shared" si="13"/>
        <v>5376</v>
      </c>
      <c r="G132" s="90"/>
    </row>
    <row r="133" spans="1:7">
      <c r="A133">
        <v>5</v>
      </c>
      <c r="B133" s="81" t="s">
        <v>243</v>
      </c>
      <c r="C133" s="86">
        <v>56.96</v>
      </c>
      <c r="D133" s="87">
        <v>50</v>
      </c>
      <c r="E133" s="86">
        <f t="shared" si="12"/>
        <v>2848</v>
      </c>
      <c r="F133" s="86">
        <f t="shared" si="13"/>
        <v>2848</v>
      </c>
      <c r="G133" s="90"/>
    </row>
    <row r="134" spans="1:7">
      <c r="A134">
        <v>6</v>
      </c>
      <c r="B134" s="81" t="s">
        <v>244</v>
      </c>
      <c r="C134" s="86">
        <v>11.52</v>
      </c>
      <c r="D134" s="87">
        <v>60</v>
      </c>
      <c r="E134" s="86">
        <f t="shared" si="12"/>
        <v>691.2</v>
      </c>
      <c r="F134" s="86">
        <f t="shared" si="13"/>
        <v>691.2</v>
      </c>
      <c r="G134" s="90"/>
    </row>
    <row r="135" spans="1:7">
      <c r="B135" s="199"/>
      <c r="C135" s="200"/>
      <c r="D135" s="200"/>
      <c r="E135" s="200"/>
      <c r="F135" s="88">
        <f>SUM(F129:F134)</f>
        <v>17704</v>
      </c>
      <c r="G135" s="90"/>
    </row>
    <row r="136" spans="1:7">
      <c r="G136" s="90"/>
    </row>
    <row r="137" spans="1:7">
      <c r="B137" s="195" t="s">
        <v>187</v>
      </c>
      <c r="C137" s="196"/>
      <c r="D137" s="196"/>
      <c r="E137" s="196"/>
      <c r="F137" s="196"/>
      <c r="G137" s="90"/>
    </row>
    <row r="138" spans="1:7">
      <c r="B138" s="82" t="s">
        <v>76</v>
      </c>
      <c r="C138" s="83" t="s">
        <v>181</v>
      </c>
      <c r="D138" s="84" t="s">
        <v>100</v>
      </c>
      <c r="E138" s="83" t="s">
        <v>182</v>
      </c>
      <c r="F138" s="85">
        <v>30</v>
      </c>
      <c r="G138" s="90"/>
    </row>
    <row r="139" spans="1:7">
      <c r="A139">
        <v>1</v>
      </c>
      <c r="B139" s="81" t="s">
        <v>188</v>
      </c>
      <c r="C139" s="86">
        <v>1700</v>
      </c>
      <c r="D139" s="87">
        <v>22</v>
      </c>
      <c r="E139" s="86">
        <f>C139*D139</f>
        <v>37400</v>
      </c>
      <c r="F139" s="86">
        <f>E139/$F$138</f>
        <v>1246.67</v>
      </c>
      <c r="G139" s="90"/>
    </row>
    <row r="140" spans="1:7">
      <c r="A140">
        <v>2</v>
      </c>
      <c r="B140" s="81" t="s">
        <v>189</v>
      </c>
      <c r="C140" s="86">
        <v>700</v>
      </c>
      <c r="D140" s="87">
        <v>10</v>
      </c>
      <c r="E140" s="86">
        <f>C140*D140</f>
        <v>7000</v>
      </c>
      <c r="F140" s="86">
        <f t="shared" ref="F140:F157" si="14">E140/$F$138</f>
        <v>233.33</v>
      </c>
      <c r="G140" s="90"/>
    </row>
    <row r="141" spans="1:7">
      <c r="A141">
        <v>3</v>
      </c>
      <c r="B141" s="81" t="s">
        <v>190</v>
      </c>
      <c r="C141" s="86">
        <v>650</v>
      </c>
      <c r="D141" s="87">
        <v>4</v>
      </c>
      <c r="E141" s="86">
        <f>C141*D141</f>
        <v>2600</v>
      </c>
      <c r="F141" s="86">
        <f t="shared" si="14"/>
        <v>86.67</v>
      </c>
      <c r="G141" s="90"/>
    </row>
    <row r="142" spans="1:7">
      <c r="A142">
        <v>4</v>
      </c>
      <c r="B142" s="81" t="s">
        <v>191</v>
      </c>
      <c r="C142" s="86">
        <v>900</v>
      </c>
      <c r="D142" s="87">
        <v>1</v>
      </c>
      <c r="E142" s="86">
        <f>C142*D142</f>
        <v>900</v>
      </c>
      <c r="F142" s="86">
        <f t="shared" si="14"/>
        <v>30</v>
      </c>
      <c r="G142" s="90"/>
    </row>
    <row r="143" spans="1:7">
      <c r="A143">
        <v>5</v>
      </c>
      <c r="B143" s="81" t="s">
        <v>192</v>
      </c>
      <c r="C143" s="86">
        <v>900</v>
      </c>
      <c r="D143" s="87">
        <v>1</v>
      </c>
      <c r="E143" s="86">
        <f t="shared" ref="E143:E146" si="15">C143*D143</f>
        <v>900</v>
      </c>
      <c r="F143" s="86">
        <f t="shared" si="14"/>
        <v>30</v>
      </c>
      <c r="G143" s="90"/>
    </row>
    <row r="144" spans="1:7">
      <c r="A144">
        <v>6</v>
      </c>
      <c r="B144" s="81" t="s">
        <v>193</v>
      </c>
      <c r="C144" s="86">
        <v>639.36</v>
      </c>
      <c r="D144" s="87">
        <v>1</v>
      </c>
      <c r="E144" s="86">
        <f t="shared" si="15"/>
        <v>639.36</v>
      </c>
      <c r="F144" s="86">
        <f t="shared" si="14"/>
        <v>21.31</v>
      </c>
      <c r="G144" s="90"/>
    </row>
    <row r="145" spans="1:7">
      <c r="A145">
        <v>7</v>
      </c>
      <c r="B145" s="81" t="s">
        <v>194</v>
      </c>
      <c r="C145" s="86">
        <v>600</v>
      </c>
      <c r="D145" s="87">
        <v>10</v>
      </c>
      <c r="E145" s="86">
        <f t="shared" si="15"/>
        <v>6000</v>
      </c>
      <c r="F145" s="86">
        <f t="shared" si="14"/>
        <v>200</v>
      </c>
      <c r="G145" s="90"/>
    </row>
    <row r="146" spans="1:7">
      <c r="A146">
        <v>8</v>
      </c>
      <c r="B146" s="81" t="s">
        <v>307</v>
      </c>
      <c r="C146" s="86">
        <v>28.8</v>
      </c>
      <c r="D146" s="87">
        <v>3</v>
      </c>
      <c r="E146" s="86">
        <f t="shared" si="15"/>
        <v>86.4</v>
      </c>
      <c r="F146" s="86">
        <f t="shared" si="14"/>
        <v>2.88</v>
      </c>
      <c r="G146" s="90"/>
    </row>
    <row r="147" spans="1:7">
      <c r="A147">
        <v>9</v>
      </c>
      <c r="B147" s="81" t="s">
        <v>259</v>
      </c>
      <c r="C147" s="86">
        <v>160</v>
      </c>
      <c r="D147" s="87">
        <v>2</v>
      </c>
      <c r="E147" s="86">
        <f t="shared" ref="E147:E157" si="16">C147*D147</f>
        <v>320</v>
      </c>
      <c r="F147" s="86">
        <f t="shared" si="14"/>
        <v>10.67</v>
      </c>
      <c r="G147" s="90"/>
    </row>
    <row r="148" spans="1:7">
      <c r="A148">
        <v>10</v>
      </c>
      <c r="B148" s="81" t="s">
        <v>260</v>
      </c>
      <c r="C148" s="86">
        <v>4.42</v>
      </c>
      <c r="D148" s="87">
        <v>2</v>
      </c>
      <c r="E148" s="86">
        <f t="shared" si="16"/>
        <v>8.84</v>
      </c>
      <c r="F148" s="86">
        <f t="shared" si="14"/>
        <v>0.28999999999999998</v>
      </c>
      <c r="G148" s="90"/>
    </row>
    <row r="149" spans="1:7">
      <c r="A149">
        <v>11</v>
      </c>
      <c r="B149" s="81" t="s">
        <v>261</v>
      </c>
      <c r="C149" s="86">
        <v>38.4</v>
      </c>
      <c r="D149" s="87">
        <v>2</v>
      </c>
      <c r="E149" s="86">
        <f t="shared" si="16"/>
        <v>76.8</v>
      </c>
      <c r="F149" s="86">
        <f t="shared" si="14"/>
        <v>2.56</v>
      </c>
      <c r="G149" s="90"/>
    </row>
    <row r="150" spans="1:7">
      <c r="A150">
        <v>12</v>
      </c>
      <c r="B150" s="81" t="s">
        <v>262</v>
      </c>
      <c r="C150" s="86">
        <v>76.8</v>
      </c>
      <c r="D150" s="87">
        <v>2</v>
      </c>
      <c r="E150" s="86">
        <f t="shared" si="16"/>
        <v>153.6</v>
      </c>
      <c r="F150" s="86">
        <f t="shared" si="14"/>
        <v>5.12</v>
      </c>
      <c r="G150" s="90"/>
    </row>
    <row r="151" spans="1:7">
      <c r="A151">
        <v>13</v>
      </c>
      <c r="B151" s="81" t="s">
        <v>263</v>
      </c>
      <c r="C151" s="86">
        <v>17.920000000000002</v>
      </c>
      <c r="D151" s="87">
        <v>2</v>
      </c>
      <c r="E151" s="86">
        <f t="shared" si="16"/>
        <v>35.840000000000003</v>
      </c>
      <c r="F151" s="86">
        <f t="shared" si="14"/>
        <v>1.19</v>
      </c>
      <c r="G151" s="90"/>
    </row>
    <row r="152" spans="1:7">
      <c r="A152">
        <v>14</v>
      </c>
      <c r="B152" s="81" t="s">
        <v>264</v>
      </c>
      <c r="C152" s="86">
        <v>12.8</v>
      </c>
      <c r="D152" s="87">
        <v>4</v>
      </c>
      <c r="E152" s="86">
        <f t="shared" si="16"/>
        <v>51.2</v>
      </c>
      <c r="F152" s="86">
        <f t="shared" si="14"/>
        <v>1.71</v>
      </c>
      <c r="G152" s="90"/>
    </row>
    <row r="153" spans="1:7">
      <c r="A153">
        <v>15</v>
      </c>
      <c r="B153" s="81" t="s">
        <v>265</v>
      </c>
      <c r="C153" s="86">
        <v>83.2</v>
      </c>
      <c r="D153" s="87">
        <v>1</v>
      </c>
      <c r="E153" s="86">
        <f t="shared" si="16"/>
        <v>83.2</v>
      </c>
      <c r="F153" s="86">
        <f t="shared" si="14"/>
        <v>2.77</v>
      </c>
      <c r="G153" s="90"/>
    </row>
    <row r="154" spans="1:7">
      <c r="A154">
        <v>16</v>
      </c>
      <c r="B154" s="81" t="s">
        <v>266</v>
      </c>
      <c r="C154" s="86">
        <v>14.08</v>
      </c>
      <c r="D154" s="87">
        <v>1</v>
      </c>
      <c r="E154" s="86">
        <f t="shared" si="16"/>
        <v>14.08</v>
      </c>
      <c r="F154" s="86">
        <f t="shared" si="14"/>
        <v>0.47</v>
      </c>
      <c r="G154" s="90"/>
    </row>
    <row r="155" spans="1:7">
      <c r="A155">
        <v>17</v>
      </c>
      <c r="B155" s="81" t="s">
        <v>267</v>
      </c>
      <c r="C155" s="86">
        <v>7.68</v>
      </c>
      <c r="D155" s="87">
        <v>1</v>
      </c>
      <c r="E155" s="86">
        <f t="shared" si="16"/>
        <v>7.68</v>
      </c>
      <c r="F155" s="86">
        <f t="shared" si="14"/>
        <v>0.26</v>
      </c>
      <c r="G155" s="90"/>
    </row>
    <row r="156" spans="1:7">
      <c r="A156">
        <v>18</v>
      </c>
      <c r="B156" s="81" t="s">
        <v>305</v>
      </c>
      <c r="C156" s="86">
        <v>28.8</v>
      </c>
      <c r="D156" s="87">
        <v>1</v>
      </c>
      <c r="E156" s="86">
        <f t="shared" si="16"/>
        <v>28.8</v>
      </c>
      <c r="F156" s="86">
        <f t="shared" si="14"/>
        <v>0.96</v>
      </c>
      <c r="G156" s="90"/>
    </row>
    <row r="157" spans="1:7">
      <c r="A157">
        <v>19</v>
      </c>
      <c r="B157" s="81" t="s">
        <v>306</v>
      </c>
      <c r="C157" s="86">
        <v>28.8</v>
      </c>
      <c r="D157" s="87">
        <v>1</v>
      </c>
      <c r="E157" s="86">
        <f t="shared" si="16"/>
        <v>28.8</v>
      </c>
      <c r="F157" s="86">
        <f t="shared" si="14"/>
        <v>0.96</v>
      </c>
      <c r="G157" s="90"/>
    </row>
    <row r="158" spans="1:7">
      <c r="B158" s="199"/>
      <c r="C158" s="200"/>
      <c r="D158" s="200"/>
      <c r="E158" s="200"/>
      <c r="F158" s="88">
        <f>SUM(F139:F157)/100</f>
        <v>18.78</v>
      </c>
      <c r="G158" s="90"/>
    </row>
    <row r="159" spans="1:7">
      <c r="G159" s="90"/>
    </row>
    <row r="160" spans="1:7">
      <c r="B160" s="195" t="s">
        <v>308</v>
      </c>
      <c r="C160" s="196"/>
      <c r="D160" s="196"/>
      <c r="E160" s="196"/>
      <c r="F160" s="196"/>
      <c r="G160" s="90"/>
    </row>
    <row r="161" spans="2:7">
      <c r="B161" s="82" t="s">
        <v>76</v>
      </c>
      <c r="C161" s="83" t="s">
        <v>181</v>
      </c>
      <c r="D161" s="84" t="s">
        <v>100</v>
      </c>
      <c r="E161" s="83" t="s">
        <v>182</v>
      </c>
      <c r="F161" s="85">
        <v>30</v>
      </c>
      <c r="G161" s="90"/>
    </row>
    <row r="162" spans="2:7">
      <c r="B162" s="81" t="s">
        <v>325</v>
      </c>
      <c r="C162" s="86">
        <v>50000</v>
      </c>
      <c r="D162" s="87">
        <v>1</v>
      </c>
      <c r="E162" s="86">
        <f>D162*C162</f>
        <v>50000</v>
      </c>
      <c r="F162" s="86">
        <f>E162/60</f>
        <v>833.33</v>
      </c>
      <c r="G162" s="90"/>
    </row>
    <row r="163" spans="2:7">
      <c r="B163" s="81" t="s">
        <v>309</v>
      </c>
      <c r="C163" s="86">
        <v>10000</v>
      </c>
      <c r="D163" s="87">
        <v>1</v>
      </c>
      <c r="E163" s="86">
        <f>C163*D163</f>
        <v>10000</v>
      </c>
      <c r="F163" s="86">
        <f>E163/$F$161</f>
        <v>333.33</v>
      </c>
      <c r="G163" s="90"/>
    </row>
    <row r="164" spans="2:7">
      <c r="B164" s="81" t="s">
        <v>310</v>
      </c>
      <c r="C164" s="86">
        <v>7</v>
      </c>
      <c r="D164" s="87">
        <f>(2000*30)/10</f>
        <v>6000</v>
      </c>
      <c r="E164" s="86">
        <f>C164*D164</f>
        <v>42000</v>
      </c>
      <c r="F164" s="86">
        <f>E164/$F$161</f>
        <v>1400</v>
      </c>
      <c r="G164" s="90"/>
    </row>
    <row r="165" spans="2:7">
      <c r="B165" s="199"/>
      <c r="C165" s="200"/>
      <c r="D165" s="200"/>
      <c r="E165" s="200"/>
      <c r="F165" s="88">
        <f>SUM(F162:F164)/100</f>
        <v>25.67</v>
      </c>
      <c r="G165" s="90"/>
    </row>
  </sheetData>
  <mergeCells count="20">
    <mergeCell ref="B158:E158"/>
    <mergeCell ref="B160:F160"/>
    <mergeCell ref="B165:E165"/>
    <mergeCell ref="B103:E103"/>
    <mergeCell ref="B105:F105"/>
    <mergeCell ref="B125:E125"/>
    <mergeCell ref="B127:F127"/>
    <mergeCell ref="B1:F1"/>
    <mergeCell ref="B137:F137"/>
    <mergeCell ref="B56:F56"/>
    <mergeCell ref="B10:E10"/>
    <mergeCell ref="B12:F12"/>
    <mergeCell ref="B19:E19"/>
    <mergeCell ref="B21:F21"/>
    <mergeCell ref="B28:E28"/>
    <mergeCell ref="B30:F30"/>
    <mergeCell ref="B40:E40"/>
    <mergeCell ref="B42:F42"/>
    <mergeCell ref="B54:E54"/>
    <mergeCell ref="B135:E135"/>
  </mergeCells>
  <printOptions horizontalCentered="1"/>
  <pageMargins left="0.39370078740157483" right="0.39370078740157483" top="1.9685039370078741" bottom="0.78740157480314965" header="0" footer="0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12</vt:i4>
      </vt:variant>
    </vt:vector>
  </HeadingPairs>
  <TitlesOfParts>
    <vt:vector size="26" baseType="lpstr">
      <vt:lpstr>CPU</vt:lpstr>
      <vt:lpstr>Entrada de dados</vt:lpstr>
      <vt:lpstr>Quadro Resumo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insumos</vt:lpstr>
      <vt:lpstr>'1'!Area_de_impressao</vt:lpstr>
      <vt:lpstr>'10'!Area_de_impressao</vt:lpstr>
      <vt:lpstr>'2'!Area_de_impressao</vt:lpstr>
      <vt:lpstr>'3'!Area_de_impressao</vt:lpstr>
      <vt:lpstr>'4'!Area_de_impressao</vt:lpstr>
      <vt:lpstr>'5'!Area_de_impressao</vt:lpstr>
      <vt:lpstr>'6'!Area_de_impressao</vt:lpstr>
      <vt:lpstr>'7'!Area_de_impressao</vt:lpstr>
      <vt:lpstr>'8'!Area_de_impressao</vt:lpstr>
      <vt:lpstr>'9'!Area_de_impressao</vt:lpstr>
      <vt:lpstr>CPU!Area_de_impressao</vt:lpstr>
      <vt:lpstr>'Quadro Resumo'!Area_de_impressao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de Albuquerque Mazon</dc:creator>
  <cp:lastModifiedBy>milckd@outlook.com</cp:lastModifiedBy>
  <cp:lastPrinted>2025-05-14T13:07:27Z</cp:lastPrinted>
  <dcterms:created xsi:type="dcterms:W3CDTF">2015-02-20T16:21:26Z</dcterms:created>
  <dcterms:modified xsi:type="dcterms:W3CDTF">2025-05-31T16:43:30Z</dcterms:modified>
</cp:coreProperties>
</file>