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M:\COMISSOES\CPLC\CPLC 2025\LICITAÇÃO ELETRÔNICA - LE\LE SAP 303 - CONTRATAÇÃO DE VIGILANCIA ARMADA 1000000303\BB\"/>
    </mc:Choice>
  </mc:AlternateContent>
  <xr:revisionPtr revIDLastSave="0" documentId="13_ncr:1_{588492C9-465F-44E7-B21E-43E59C030D2F}" xr6:coauthVersionLast="47" xr6:coauthVersionMax="47" xr10:uidLastSave="{00000000-0000-0000-0000-000000000000}"/>
  <bookViews>
    <workbookView xWindow="28680" yWindow="-120" windowWidth="29040" windowHeight="15840" tabRatio="999" firstSheet="2" activeTab="3" xr2:uid="{00000000-000D-0000-FFFF-FFFF00000000}"/>
  </bookViews>
  <sheets>
    <sheet name="Custos e Fomação de Preços " sheetId="1" state="hidden" r:id="rId1"/>
    <sheet name="Cálculo-Remuneração" sheetId="2" state="hidden" r:id="rId2"/>
    <sheet name="I. Considerações Iniciais" sheetId="19" r:id="rId3"/>
    <sheet name="II. PCFP Vigilante Diurno" sheetId="3" r:id="rId4"/>
    <sheet name="III. PCFP Vigilante Noturno" sheetId="16" r:id="rId5"/>
    <sheet name="IV. PCFP Supervisor Diurno" sheetId="17" r:id="rId6"/>
    <sheet name="V. PCFP Supervisor Noturno" sheetId="18" r:id="rId7"/>
    <sheet name="VI. Insumos Diversos" sheetId="9" r:id="rId8"/>
    <sheet name="VII. Quadro-Resumo PCFP" sheetId="13" r:id="rId9"/>
    <sheet name="VIII. CCT VGT 2024-2026" sheetId="12" r:id="rId10"/>
  </sheets>
  <definedNames>
    <definedName name="_xlnm.Print_Area" localSheetId="0">'Custos e Fomação de Preços '!$A$1:$AV$159</definedName>
    <definedName name="_xlnm.Print_Area" localSheetId="2">'I. Considerações Iniciais'!$B$1:$K$100</definedName>
    <definedName name="_xlnm.Print_Area" localSheetId="3">'II. PCFP Vigilante Diurno'!$A$1:$AF$185</definedName>
    <definedName name="_xlnm.Print_Area" localSheetId="4">'III. PCFP Vigilante Noturno'!$A$1:$AF$185</definedName>
    <definedName name="_xlnm.Print_Area" localSheetId="5">'IV. PCFP Supervisor Diurno'!$A$1:$AF$185</definedName>
    <definedName name="_xlnm.Print_Area" localSheetId="6">'V. PCFP Supervisor Noturno'!$A$1:$AF$185</definedName>
    <definedName name="Excel_BuiltIn_Print_Area" localSheetId="0">'Custos e Fomação de Preços '!$A$1:$AV$159</definedName>
    <definedName name="Excel_BuiltIn_Print_Area" localSheetId="3">'II. PCFP Vigilante Diurno'!$A$1:$AF$185</definedName>
    <definedName name="Excel_BuiltIn_Print_Area" localSheetId="4">'III. PCFP Vigilante Noturno'!$A$1:$AF$185</definedName>
    <definedName name="Excel_BuiltIn_Print_Area" localSheetId="5">'IV. PCFP Supervisor Diurno'!$A$1:$AF$185</definedName>
    <definedName name="Excel_BuiltIn_Print_Area" localSheetId="6">'V. PCFP Supervisor Noturno'!$A$1:$AF$185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F135" i="18" l="1"/>
  <c r="J34" i="13"/>
  <c r="H34" i="13"/>
  <c r="G34" i="13"/>
  <c r="F34" i="13"/>
  <c r="J24" i="13"/>
  <c r="K24" i="13"/>
  <c r="J25" i="13"/>
  <c r="K25" i="13"/>
  <c r="J26" i="13"/>
  <c r="K26" i="13"/>
  <c r="J27" i="13"/>
  <c r="K27" i="13"/>
  <c r="K23" i="13"/>
  <c r="J23" i="13"/>
  <c r="I29" i="13"/>
  <c r="H29" i="13"/>
  <c r="H24" i="13"/>
  <c r="I24" i="13"/>
  <c r="H25" i="13"/>
  <c r="I25" i="13"/>
  <c r="H26" i="13"/>
  <c r="I26" i="13"/>
  <c r="H27" i="13"/>
  <c r="I27" i="13"/>
  <c r="I23" i="13"/>
  <c r="H23" i="13"/>
  <c r="G29" i="13"/>
  <c r="F29" i="13"/>
  <c r="F24" i="13"/>
  <c r="G24" i="13"/>
  <c r="F25" i="13"/>
  <c r="G25" i="13"/>
  <c r="F26" i="13"/>
  <c r="G26" i="13"/>
  <c r="F27" i="13"/>
  <c r="G27" i="13"/>
  <c r="G23" i="13"/>
  <c r="F23" i="13"/>
  <c r="AD13" i="18" l="1"/>
  <c r="AD13" i="17"/>
  <c r="AE14" i="18"/>
  <c r="AE13" i="18"/>
  <c r="AE12" i="18"/>
  <c r="AE14" i="17"/>
  <c r="AE13" i="17"/>
  <c r="AE12" i="17"/>
  <c r="AE8" i="18"/>
  <c r="AE7" i="18"/>
  <c r="AE8" i="17"/>
  <c r="AE7" i="17"/>
  <c r="AD13" i="16"/>
  <c r="AE12" i="16"/>
  <c r="AE13" i="16"/>
  <c r="AE14" i="16"/>
  <c r="AE8" i="16"/>
  <c r="AE7" i="16"/>
  <c r="AE5" i="18"/>
  <c r="J5" i="18"/>
  <c r="J5" i="17"/>
  <c r="AE5" i="17"/>
  <c r="AE5" i="16"/>
  <c r="J5" i="16"/>
  <c r="AF41" i="17"/>
  <c r="AF41" i="18"/>
  <c r="AF37" i="17"/>
  <c r="AD180" i="18"/>
  <c r="AE180" i="18" s="1"/>
  <c r="AF177" i="18"/>
  <c r="AF176" i="18"/>
  <c r="AE173" i="18"/>
  <c r="AE172" i="18"/>
  <c r="B172" i="18" s="1"/>
  <c r="AE148" i="18"/>
  <c r="AE140" i="18"/>
  <c r="AE139" i="18"/>
  <c r="AF130" i="18"/>
  <c r="AF166" i="18" s="1"/>
  <c r="AF128" i="18"/>
  <c r="AF127" i="18"/>
  <c r="AF126" i="18"/>
  <c r="AF125" i="18"/>
  <c r="AF124" i="18"/>
  <c r="AF123" i="18"/>
  <c r="AF122" i="18"/>
  <c r="AF121" i="18"/>
  <c r="AF120" i="18"/>
  <c r="E114" i="18"/>
  <c r="E113" i="18"/>
  <c r="AF109" i="18"/>
  <c r="AF110" i="18" s="1"/>
  <c r="AF114" i="18" s="1"/>
  <c r="AE104" i="18"/>
  <c r="AE103" i="18"/>
  <c r="AE102" i="18"/>
  <c r="AE101" i="18"/>
  <c r="AE100" i="18"/>
  <c r="AE99" i="18"/>
  <c r="AE105" i="18" s="1"/>
  <c r="AE92" i="18"/>
  <c r="AE90" i="18"/>
  <c r="AD90" i="18"/>
  <c r="AE89" i="18"/>
  <c r="AE87" i="18"/>
  <c r="E81" i="18"/>
  <c r="E80" i="18"/>
  <c r="E79" i="18"/>
  <c r="AF69" i="18"/>
  <c r="AE69" i="18"/>
  <c r="AF67" i="18"/>
  <c r="AE54" i="18"/>
  <c r="AE141" i="18" s="1"/>
  <c r="AE138" i="18" s="1"/>
  <c r="AE137" i="18" s="1"/>
  <c r="J8" i="18" s="1"/>
  <c r="AE48" i="18"/>
  <c r="AE50" i="18" s="1"/>
  <c r="AF40" i="18"/>
  <c r="AE40" i="18" s="1"/>
  <c r="AD40" i="18"/>
  <c r="AF38" i="18"/>
  <c r="AF37" i="18"/>
  <c r="AF39" i="18" s="1"/>
  <c r="AE39" i="18" s="1"/>
  <c r="AE36" i="18"/>
  <c r="AE26" i="18"/>
  <c r="AE20" i="18"/>
  <c r="K34" i="13" s="1"/>
  <c r="K7" i="18"/>
  <c r="AD180" i="17"/>
  <c r="AE180" i="17" s="1"/>
  <c r="AF177" i="17"/>
  <c r="AF176" i="17"/>
  <c r="AE173" i="17"/>
  <c r="AE172" i="17"/>
  <c r="B172" i="17" s="1"/>
  <c r="AE148" i="17"/>
  <c r="AE140" i="17"/>
  <c r="AE139" i="17"/>
  <c r="AF128" i="17"/>
  <c r="AF127" i="17"/>
  <c r="AF126" i="17"/>
  <c r="AF125" i="17"/>
  <c r="AF124" i="17"/>
  <c r="AF123" i="17"/>
  <c r="AF122" i="17"/>
  <c r="AF121" i="17"/>
  <c r="AF120" i="17"/>
  <c r="E114" i="17"/>
  <c r="E113" i="17"/>
  <c r="AF109" i="17"/>
  <c r="AF110" i="17" s="1"/>
  <c r="AF114" i="17" s="1"/>
  <c r="AE104" i="17"/>
  <c r="AE103" i="17"/>
  <c r="AE102" i="17"/>
  <c r="AE101" i="17"/>
  <c r="AE100" i="17"/>
  <c r="AE99" i="17"/>
  <c r="AE90" i="17"/>
  <c r="AD90" i="17"/>
  <c r="AE92" i="17" s="1"/>
  <c r="AE89" i="17"/>
  <c r="AE87" i="17"/>
  <c r="E81" i="17"/>
  <c r="E80" i="17"/>
  <c r="E79" i="17"/>
  <c r="AE69" i="17"/>
  <c r="AF69" i="17" s="1"/>
  <c r="AF67" i="17"/>
  <c r="AE54" i="17"/>
  <c r="AE141" i="17" s="1"/>
  <c r="AE138" i="17" s="1"/>
  <c r="AE50" i="17"/>
  <c r="AE48" i="17"/>
  <c r="AD40" i="17"/>
  <c r="AF40" i="17" s="1"/>
  <c r="AE40" i="17" s="1"/>
  <c r="AF39" i="17"/>
  <c r="AE39" i="17" s="1"/>
  <c r="AF38" i="17"/>
  <c r="AE36" i="17"/>
  <c r="AE26" i="17"/>
  <c r="AE20" i="17"/>
  <c r="I34" i="13" s="1"/>
  <c r="K7" i="17"/>
  <c r="AE180" i="16"/>
  <c r="AD180" i="16"/>
  <c r="AF177" i="16"/>
  <c r="AF176" i="16"/>
  <c r="AE173" i="16"/>
  <c r="AE172" i="16"/>
  <c r="B172" i="16" s="1"/>
  <c r="AE148" i="16"/>
  <c r="AE140" i="16"/>
  <c r="AE139" i="16"/>
  <c r="AF130" i="16"/>
  <c r="AF166" i="16" s="1"/>
  <c r="AF128" i="16"/>
  <c r="AF127" i="16"/>
  <c r="AF126" i="16"/>
  <c r="AF125" i="16"/>
  <c r="AF124" i="16"/>
  <c r="AF123" i="16"/>
  <c r="AF122" i="16"/>
  <c r="AF121" i="16"/>
  <c r="AF120" i="16"/>
  <c r="E114" i="16"/>
  <c r="E113" i="16"/>
  <c r="AF109" i="16"/>
  <c r="AF110" i="16" s="1"/>
  <c r="AF114" i="16" s="1"/>
  <c r="AE104" i="16"/>
  <c r="AE103" i="16"/>
  <c r="AE102" i="16"/>
  <c r="AE101" i="16"/>
  <c r="AE100" i="16"/>
  <c r="AE99" i="16"/>
  <c r="AE92" i="16"/>
  <c r="AE90" i="16"/>
  <c r="AD90" i="16"/>
  <c r="AE89" i="16"/>
  <c r="AE87" i="16"/>
  <c r="E81" i="16"/>
  <c r="E80" i="16"/>
  <c r="E79" i="16"/>
  <c r="AF69" i="16"/>
  <c r="AE69" i="16"/>
  <c r="AF67" i="16"/>
  <c r="AE63" i="16"/>
  <c r="AE91" i="16" s="1"/>
  <c r="AE54" i="16"/>
  <c r="AE141" i="16" s="1"/>
  <c r="AE48" i="16"/>
  <c r="AE50" i="16" s="1"/>
  <c r="AE41" i="16"/>
  <c r="AF40" i="16"/>
  <c r="AE40" i="16" s="1"/>
  <c r="AD40" i="16"/>
  <c r="AF39" i="16"/>
  <c r="AE39" i="16" s="1"/>
  <c r="AF38" i="16"/>
  <c r="AF37" i="16"/>
  <c r="AE36" i="16"/>
  <c r="AE26" i="16"/>
  <c r="AE20" i="16"/>
  <c r="K7" i="16"/>
  <c r="AF109" i="3"/>
  <c r="AE48" i="3"/>
  <c r="AE87" i="3"/>
  <c r="AF67" i="3"/>
  <c r="AE54" i="3"/>
  <c r="AF37" i="3"/>
  <c r="J26" i="9"/>
  <c r="J33" i="9"/>
  <c r="I33" i="9"/>
  <c r="I62" i="9"/>
  <c r="I79" i="9"/>
  <c r="I98" i="9"/>
  <c r="AF126" i="3" s="1"/>
  <c r="I97" i="9"/>
  <c r="AF125" i="3" s="1"/>
  <c r="I96" i="9"/>
  <c r="AF124" i="3" s="1"/>
  <c r="I94" i="9"/>
  <c r="AF122" i="3" s="1"/>
  <c r="AE99" i="3"/>
  <c r="E16" i="13"/>
  <c r="AE69" i="3"/>
  <c r="AE36" i="3"/>
  <c r="D34" i="13"/>
  <c r="AE20" i="3"/>
  <c r="E34" i="13" s="1"/>
  <c r="E18" i="13"/>
  <c r="E17" i="13"/>
  <c r="D16" i="13"/>
  <c r="E15" i="13"/>
  <c r="J13" i="13"/>
  <c r="J15" i="13"/>
  <c r="J11" i="13"/>
  <c r="C11" i="13"/>
  <c r="AE26" i="3"/>
  <c r="AE11" i="3"/>
  <c r="E14" i="13" s="1"/>
  <c r="K7" i="3"/>
  <c r="AF38" i="3"/>
  <c r="AE101" i="3"/>
  <c r="AE11" i="17" l="1"/>
  <c r="AE11" i="18"/>
  <c r="AE11" i="16"/>
  <c r="AF130" i="17"/>
  <c r="AF166" i="17" s="1"/>
  <c r="AE137" i="17"/>
  <c r="J8" i="17" s="1"/>
  <c r="AE105" i="17"/>
  <c r="AF42" i="17"/>
  <c r="AF42" i="18"/>
  <c r="AF162" i="18" s="1"/>
  <c r="AE162" i="18" s="1"/>
  <c r="AE63" i="18"/>
  <c r="AE91" i="18" s="1"/>
  <c r="AE63" i="17"/>
  <c r="AE91" i="17" s="1"/>
  <c r="AF42" i="16"/>
  <c r="AF162" i="16" s="1"/>
  <c r="AE127" i="16"/>
  <c r="AE121" i="16"/>
  <c r="AF87" i="16"/>
  <c r="AF72" i="16"/>
  <c r="AF75" i="16" s="1"/>
  <c r="AF81" i="16" s="1"/>
  <c r="AE81" i="16" s="1"/>
  <c r="AF89" i="16"/>
  <c r="AE126" i="16"/>
  <c r="AE124" i="16"/>
  <c r="AE120" i="16"/>
  <c r="AE114" i="16"/>
  <c r="AE138" i="16"/>
  <c r="AE137" i="16" s="1"/>
  <c r="J8" i="16" s="1"/>
  <c r="AE105" i="16"/>
  <c r="J28" i="13"/>
  <c r="G28" i="13"/>
  <c r="G30" i="13" s="1"/>
  <c r="F35" i="13" s="1"/>
  <c r="H28" i="13"/>
  <c r="H30" i="13" s="1"/>
  <c r="I28" i="13"/>
  <c r="I30" i="13" s="1"/>
  <c r="H35" i="13" s="1"/>
  <c r="K28" i="13"/>
  <c r="F28" i="13"/>
  <c r="F30" i="13" s="1"/>
  <c r="AF72" i="18" l="1"/>
  <c r="AF75" i="18" s="1"/>
  <c r="AF81" i="18" s="1"/>
  <c r="AE81" i="18" s="1"/>
  <c r="AF90" i="18"/>
  <c r="AF91" i="18" s="1"/>
  <c r="AE125" i="18"/>
  <c r="AE166" i="18"/>
  <c r="AE130" i="18" s="1"/>
  <c r="AE166" i="17"/>
  <c r="AE130" i="17" s="1"/>
  <c r="AE122" i="18"/>
  <c r="AE128" i="18"/>
  <c r="AF49" i="18"/>
  <c r="AF90" i="17"/>
  <c r="AF91" i="17" s="1"/>
  <c r="AF89" i="17"/>
  <c r="AE127" i="17"/>
  <c r="AE120" i="17"/>
  <c r="AE114" i="17"/>
  <c r="AE128" i="17"/>
  <c r="AE122" i="17"/>
  <c r="AE121" i="17"/>
  <c r="AF162" i="17"/>
  <c r="AF49" i="17"/>
  <c r="AE125" i="17"/>
  <c r="AF92" i="17"/>
  <c r="AF72" i="17"/>
  <c r="AF75" i="17" s="1"/>
  <c r="AF81" i="17" s="1"/>
  <c r="AE81" i="17" s="1"/>
  <c r="AE126" i="17"/>
  <c r="AF87" i="17"/>
  <c r="AF88" i="17" s="1"/>
  <c r="AE129" i="17"/>
  <c r="AE124" i="17"/>
  <c r="AF48" i="17"/>
  <c r="AE123" i="17"/>
  <c r="AE120" i="18"/>
  <c r="AE123" i="18"/>
  <c r="AF50" i="17"/>
  <c r="AF79" i="17" s="1"/>
  <c r="AE79" i="17" s="1"/>
  <c r="AF92" i="18"/>
  <c r="AE124" i="18"/>
  <c r="AF89" i="18"/>
  <c r="AE127" i="18"/>
  <c r="AF48" i="18"/>
  <c r="AF87" i="18"/>
  <c r="AF88" i="18" s="1"/>
  <c r="AE114" i="18"/>
  <c r="AE126" i="18"/>
  <c r="AE121" i="18"/>
  <c r="AE129" i="18"/>
  <c r="AE162" i="17"/>
  <c r="AE129" i="16"/>
  <c r="AE128" i="16"/>
  <c r="AF90" i="16"/>
  <c r="AF91" i="16" s="1"/>
  <c r="AE123" i="16"/>
  <c r="AE166" i="16"/>
  <c r="AE130" i="16" s="1"/>
  <c r="AF48" i="16"/>
  <c r="AE122" i="16"/>
  <c r="AF49" i="16"/>
  <c r="AF92" i="16"/>
  <c r="AE125" i="16"/>
  <c r="AF88" i="16"/>
  <c r="AF93" i="16" s="1"/>
  <c r="AE162" i="16"/>
  <c r="AF50" i="18" l="1"/>
  <c r="AF52" i="18" s="1"/>
  <c r="AF93" i="18"/>
  <c r="AF164" i="18" s="1"/>
  <c r="AE164" i="18" s="1"/>
  <c r="AF93" i="17"/>
  <c r="AF164" i="17" s="1"/>
  <c r="AE164" i="17" s="1"/>
  <c r="AF52" i="17"/>
  <c r="AF56" i="17" s="1"/>
  <c r="AF79" i="18"/>
  <c r="AF50" i="16"/>
  <c r="AF164" i="16"/>
  <c r="AE164" i="16" s="1"/>
  <c r="AE93" i="16"/>
  <c r="AE93" i="18" l="1"/>
  <c r="AF61" i="17"/>
  <c r="AE93" i="17"/>
  <c r="AF60" i="17"/>
  <c r="AF58" i="17"/>
  <c r="AF55" i="17"/>
  <c r="AF54" i="17"/>
  <c r="AF62" i="17"/>
  <c r="AF59" i="17"/>
  <c r="AF57" i="17"/>
  <c r="AF59" i="18"/>
  <c r="AF55" i="18"/>
  <c r="AF62" i="18"/>
  <c r="AF58" i="18"/>
  <c r="AF61" i="18"/>
  <c r="AF57" i="18"/>
  <c r="AF60" i="18"/>
  <c r="AF56" i="18"/>
  <c r="AF54" i="18"/>
  <c r="AE79" i="18"/>
  <c r="AF79" i="16"/>
  <c r="AE79" i="16" s="1"/>
  <c r="AF52" i="16"/>
  <c r="AF63" i="17" l="1"/>
  <c r="AF80" i="17" s="1"/>
  <c r="AE80" i="17" s="1"/>
  <c r="AF63" i="18"/>
  <c r="AF80" i="18" s="1"/>
  <c r="AF62" i="16"/>
  <c r="AF60" i="16"/>
  <c r="AF58" i="16"/>
  <c r="AF56" i="16"/>
  <c r="AF59" i="16"/>
  <c r="AF61" i="16"/>
  <c r="AF55" i="16"/>
  <c r="AF57" i="16"/>
  <c r="AF54" i="16"/>
  <c r="AF82" i="17" l="1"/>
  <c r="AF163" i="17" s="1"/>
  <c r="AE80" i="18"/>
  <c r="AF82" i="18"/>
  <c r="AF63" i="16"/>
  <c r="AF80" i="16" s="1"/>
  <c r="AE82" i="17" l="1"/>
  <c r="AF97" i="17"/>
  <c r="AF102" i="17" s="1"/>
  <c r="AF163" i="18"/>
  <c r="AE82" i="18"/>
  <c r="AF97" i="18"/>
  <c r="AE163" i="17"/>
  <c r="AE80" i="16"/>
  <c r="AF82" i="16"/>
  <c r="AF104" i="17" l="1"/>
  <c r="AF103" i="17"/>
  <c r="AF101" i="17"/>
  <c r="AF100" i="17"/>
  <c r="AF99" i="17"/>
  <c r="AF104" i="18"/>
  <c r="AF102" i="18"/>
  <c r="AF100" i="18"/>
  <c r="AF103" i="18"/>
  <c r="AF101" i="18"/>
  <c r="AF99" i="18"/>
  <c r="AE163" i="18"/>
  <c r="AE82" i="16"/>
  <c r="AF97" i="16"/>
  <c r="AF163" i="16"/>
  <c r="AE163" i="16" s="1"/>
  <c r="AF105" i="17" l="1"/>
  <c r="AF113" i="17" s="1"/>
  <c r="AF115" i="17" s="1"/>
  <c r="AF105" i="18"/>
  <c r="AF113" i="18" s="1"/>
  <c r="AF102" i="16"/>
  <c r="AF99" i="16"/>
  <c r="AF100" i="16"/>
  <c r="AF101" i="16"/>
  <c r="AF104" i="16"/>
  <c r="AF103" i="16"/>
  <c r="AE113" i="17" l="1"/>
  <c r="AE115" i="17" s="1"/>
  <c r="AF115" i="18"/>
  <c r="AE113" i="18"/>
  <c r="AE115" i="18" s="1"/>
  <c r="AF165" i="17"/>
  <c r="AF105" i="16"/>
  <c r="AF113" i="16" s="1"/>
  <c r="AF165" i="18" l="1"/>
  <c r="AE165" i="17"/>
  <c r="AF167" i="17"/>
  <c r="AF115" i="16"/>
  <c r="AF165" i="16" s="1"/>
  <c r="AE113" i="16"/>
  <c r="AE115" i="16" s="1"/>
  <c r="AE165" i="18" l="1"/>
  <c r="AF167" i="18"/>
  <c r="AF135" i="17"/>
  <c r="AF136" i="17" s="1"/>
  <c r="AE167" i="17"/>
  <c r="AE165" i="16"/>
  <c r="AE167" i="16" s="1"/>
  <c r="AF167" i="16"/>
  <c r="AF135" i="16" s="1"/>
  <c r="AF136" i="16" s="1"/>
  <c r="AE167" i="18" l="1"/>
  <c r="AF179" i="17"/>
  <c r="AF180" i="17" s="1"/>
  <c r="AF179" i="16"/>
  <c r="AF180" i="16" s="1"/>
  <c r="AF149" i="16" s="1"/>
  <c r="AF148" i="16" s="1"/>
  <c r="AF136" i="18" l="1"/>
  <c r="AF149" i="17"/>
  <c r="AF148" i="17" s="1"/>
  <c r="AF140" i="17"/>
  <c r="AF139" i="17"/>
  <c r="AF141" i="17"/>
  <c r="AF139" i="16"/>
  <c r="AF141" i="16"/>
  <c r="AF140" i="16"/>
  <c r="AF138" i="16"/>
  <c r="AF137" i="16" s="1"/>
  <c r="AF158" i="16" s="1"/>
  <c r="AF168" i="16" s="1"/>
  <c r="AF179" i="18" l="1"/>
  <c r="AF180" i="18" s="1"/>
  <c r="AF138" i="17"/>
  <c r="AF137" i="17" s="1"/>
  <c r="AF158" i="17" s="1"/>
  <c r="AE158" i="16"/>
  <c r="AE168" i="16"/>
  <c r="AE169" i="16" s="1"/>
  <c r="AF169" i="16"/>
  <c r="AF171" i="16" s="1"/>
  <c r="AF172" i="16" s="1"/>
  <c r="AF173" i="16" s="1"/>
  <c r="AF149" i="18" l="1"/>
  <c r="AF148" i="18" s="1"/>
  <c r="AF140" i="18"/>
  <c r="AF141" i="18"/>
  <c r="AF139" i="18"/>
  <c r="AF168" i="17"/>
  <c r="AE158" i="17"/>
  <c r="AF174" i="16"/>
  <c r="AF175" i="16"/>
  <c r="AF138" i="18" l="1"/>
  <c r="AF137" i="18" s="1"/>
  <c r="AF158" i="18" s="1"/>
  <c r="AE158" i="18" s="1"/>
  <c r="AE168" i="17"/>
  <c r="AE169" i="17" s="1"/>
  <c r="AF169" i="17"/>
  <c r="AF171" i="17" s="1"/>
  <c r="AF172" i="17" s="1"/>
  <c r="AF173" i="17" s="1"/>
  <c r="AF39" i="3"/>
  <c r="AE39" i="3" s="1"/>
  <c r="AF176" i="3"/>
  <c r="I61" i="9"/>
  <c r="J61" i="9" s="1"/>
  <c r="I40" i="9"/>
  <c r="I47" i="9"/>
  <c r="G85" i="9"/>
  <c r="I85" i="9" s="1"/>
  <c r="J85" i="9" s="1"/>
  <c r="G81" i="9"/>
  <c r="I81" i="9" s="1"/>
  <c r="J81" i="9" s="1"/>
  <c r="G80" i="9"/>
  <c r="I80" i="9" s="1"/>
  <c r="J80" i="9" s="1"/>
  <c r="G82" i="9"/>
  <c r="I82" i="9" s="1"/>
  <c r="J82" i="9" s="1"/>
  <c r="G83" i="9"/>
  <c r="I83" i="9" s="1"/>
  <c r="J83" i="9" s="1"/>
  <c r="G84" i="9"/>
  <c r="I84" i="9" s="1"/>
  <c r="J84" i="9" s="1"/>
  <c r="G86" i="9"/>
  <c r="I86" i="9" s="1"/>
  <c r="J86" i="9" s="1"/>
  <c r="G79" i="9"/>
  <c r="J79" i="9" s="1"/>
  <c r="AF168" i="18" l="1"/>
  <c r="AF174" i="17"/>
  <c r="AF175" i="17"/>
  <c r="J87" i="9"/>
  <c r="E62" i="9"/>
  <c r="J62" i="9" s="1"/>
  <c r="AF69" i="3"/>
  <c r="I12" i="9"/>
  <c r="J12" i="9" s="1"/>
  <c r="J13" i="9" s="1"/>
  <c r="I92" i="9" s="1"/>
  <c r="AF120" i="3" s="1"/>
  <c r="I72" i="9"/>
  <c r="J72" i="9" s="1"/>
  <c r="I71" i="9"/>
  <c r="J71" i="9" s="1"/>
  <c r="I70" i="9"/>
  <c r="J70" i="9" s="1"/>
  <c r="I69" i="9"/>
  <c r="J69" i="9" s="1"/>
  <c r="I68" i="9"/>
  <c r="J68" i="9" s="1"/>
  <c r="I67" i="9"/>
  <c r="J67" i="9" s="1"/>
  <c r="I66" i="9"/>
  <c r="J66" i="9" s="1"/>
  <c r="I65" i="9"/>
  <c r="J65" i="9" s="1"/>
  <c r="I64" i="9"/>
  <c r="J64" i="9" s="1"/>
  <c r="I63" i="9"/>
  <c r="J63" i="9" s="1"/>
  <c r="I54" i="9"/>
  <c r="J54" i="9" s="1"/>
  <c r="J55" i="9" s="1"/>
  <c r="J47" i="9"/>
  <c r="J48" i="9" s="1"/>
  <c r="J40" i="9"/>
  <c r="J41" i="9" s="1"/>
  <c r="J34" i="9"/>
  <c r="I95" i="9" s="1"/>
  <c r="AF123" i="3" s="1"/>
  <c r="I26" i="9"/>
  <c r="J27" i="9" s="1"/>
  <c r="I19" i="9"/>
  <c r="J19" i="9" s="1"/>
  <c r="J20" i="9" s="1"/>
  <c r="I93" i="9" s="1"/>
  <c r="AF121" i="3" s="1"/>
  <c r="AE168" i="18" l="1"/>
  <c r="K29" i="13"/>
  <c r="K30" i="13" s="1"/>
  <c r="J35" i="13" s="1"/>
  <c r="AF169" i="18"/>
  <c r="AF171" i="18" s="1"/>
  <c r="AF172" i="18" s="1"/>
  <c r="AF173" i="18" s="1"/>
  <c r="AF174" i="18" s="1"/>
  <c r="I100" i="9"/>
  <c r="AF128" i="3" s="1"/>
  <c r="J73" i="9"/>
  <c r="I99" i="9" s="1"/>
  <c r="AF127" i="3" s="1"/>
  <c r="AF130" i="3" s="1"/>
  <c r="AE169" i="18" l="1"/>
  <c r="J29" i="13"/>
  <c r="J30" i="13" s="1"/>
  <c r="AF175" i="18"/>
  <c r="AF166" i="3"/>
  <c r="I101" i="9"/>
  <c r="AE148" i="3"/>
  <c r="C5" i="2"/>
  <c r="C7" i="2"/>
  <c r="C8" i="2"/>
  <c r="F12" i="2"/>
  <c r="E13" i="2"/>
  <c r="F13" i="2"/>
  <c r="E14" i="2"/>
  <c r="F14" i="2"/>
  <c r="F21" i="2"/>
  <c r="K5" i="1"/>
  <c r="J6" i="1"/>
  <c r="AK34" i="1"/>
  <c r="AK35" i="1"/>
  <c r="AK38" i="1"/>
  <c r="AK41" i="1"/>
  <c r="AK51" i="1"/>
  <c r="AK152" i="1"/>
  <c r="AK59" i="1"/>
  <c r="AE65" i="1"/>
  <c r="AE66" i="1"/>
  <c r="AE67" i="1"/>
  <c r="AE68" i="1"/>
  <c r="AE72" i="1"/>
  <c r="AE71" i="1"/>
  <c r="AE76" i="1"/>
  <c r="AE78" i="1"/>
  <c r="AE77" i="1"/>
  <c r="AE101" i="1"/>
  <c r="AE117" i="1"/>
  <c r="AE127" i="1"/>
  <c r="AE128" i="1"/>
  <c r="AE131" i="1"/>
  <c r="AE136" i="1"/>
  <c r="AE141" i="1"/>
  <c r="AK153" i="1"/>
  <c r="AD40" i="3"/>
  <c r="AF40" i="3" s="1"/>
  <c r="E79" i="3"/>
  <c r="E80" i="3"/>
  <c r="E81" i="3"/>
  <c r="AE89" i="3"/>
  <c r="AD90" i="3"/>
  <c r="AE92" i="3" s="1"/>
  <c r="AE90" i="3"/>
  <c r="AE100" i="3"/>
  <c r="AE102" i="3"/>
  <c r="AE103" i="3"/>
  <c r="AE104" i="3"/>
  <c r="AF110" i="3"/>
  <c r="AF114" i="3" s="1"/>
  <c r="E113" i="3"/>
  <c r="E114" i="3"/>
  <c r="AE139" i="3"/>
  <c r="AE140" i="3"/>
  <c r="AE172" i="3"/>
  <c r="B172" i="3" s="1"/>
  <c r="AE173" i="3"/>
  <c r="AF177" i="3"/>
  <c r="AD180" i="3"/>
  <c r="AE180" i="3" s="1"/>
  <c r="AK67" i="1"/>
  <c r="AE79" i="1"/>
  <c r="AK79" i="1"/>
  <c r="AE108" i="1"/>
  <c r="AE85" i="1"/>
  <c r="AE95" i="1"/>
  <c r="AE97" i="1"/>
  <c r="AE116" i="1"/>
  <c r="AE113" i="1"/>
  <c r="AE80" i="1"/>
  <c r="AE114" i="1"/>
  <c r="AK104" i="1"/>
  <c r="AK96" i="1"/>
  <c r="AK105" i="1"/>
  <c r="AK106" i="1"/>
  <c r="AK64" i="1"/>
  <c r="AK68" i="1"/>
  <c r="AK76" i="1"/>
  <c r="AK91" i="1"/>
  <c r="AK151" i="1"/>
  <c r="AK69" i="1"/>
  <c r="AK84" i="1"/>
  <c r="AK65" i="1"/>
  <c r="AK70" i="1"/>
  <c r="AK77" i="1"/>
  <c r="AK93" i="1"/>
  <c r="AK101" i="1"/>
  <c r="AK94" i="1"/>
  <c r="AK95" i="1"/>
  <c r="AK102" i="1"/>
  <c r="AK66" i="1"/>
  <c r="AK71" i="1"/>
  <c r="AK103" i="1"/>
  <c r="F15" i="2"/>
  <c r="AE126" i="1"/>
  <c r="AE125" i="1"/>
  <c r="C9" i="2"/>
  <c r="AE50" i="3"/>
  <c r="D16" i="2"/>
  <c r="C3" i="2"/>
  <c r="AK78" i="1"/>
  <c r="AK80" i="1"/>
  <c r="AK114" i="1"/>
  <c r="AK72" i="1"/>
  <c r="AK113" i="1"/>
  <c r="AK85" i="1"/>
  <c r="AE86" i="1"/>
  <c r="AE87" i="1"/>
  <c r="AE115" i="1"/>
  <c r="AE119" i="1"/>
  <c r="AK97" i="1"/>
  <c r="AK116" i="1"/>
  <c r="AK92" i="1"/>
  <c r="AK107" i="1"/>
  <c r="AK109" i="1"/>
  <c r="AK117" i="1"/>
  <c r="AK86" i="1"/>
  <c r="AK87" i="1"/>
  <c r="AK115" i="1"/>
  <c r="AK119" i="1"/>
  <c r="AK108" i="1"/>
  <c r="C4" i="2"/>
  <c r="C6" i="2"/>
  <c r="E17" i="2"/>
  <c r="F17" i="2"/>
  <c r="E19" i="2"/>
  <c r="F19" i="2"/>
  <c r="AK154" i="1"/>
  <c r="AK155" i="1"/>
  <c r="AK120" i="1"/>
  <c r="E18" i="2"/>
  <c r="F18" i="2"/>
  <c r="E16" i="2"/>
  <c r="F16" i="2"/>
  <c r="E20" i="2"/>
  <c r="F20" i="2"/>
  <c r="F22" i="2"/>
  <c r="F24" i="2"/>
  <c r="AK138" i="1"/>
  <c r="AK146" i="1"/>
  <c r="AK128" i="1"/>
  <c r="AK127" i="1"/>
  <c r="AK133" i="1"/>
  <c r="AK140" i="1"/>
  <c r="AK134" i="1"/>
  <c r="AK124" i="1"/>
  <c r="AK132" i="1"/>
  <c r="AK142" i="1"/>
  <c r="AK130" i="1"/>
  <c r="AK143" i="1"/>
  <c r="AK137" i="1"/>
  <c r="AK144" i="1"/>
  <c r="AK129" i="1"/>
  <c r="AK126" i="1"/>
  <c r="AK139" i="1"/>
  <c r="AK135" i="1"/>
  <c r="AK131" i="1"/>
  <c r="AK136" i="1"/>
  <c r="AK145" i="1"/>
  <c r="AK141" i="1"/>
  <c r="AK125" i="1"/>
  <c r="AK147" i="1"/>
  <c r="AK156" i="1"/>
  <c r="AK157" i="1"/>
  <c r="AK158" i="1"/>
  <c r="AE41" i="3"/>
  <c r="AE105" i="3" l="1"/>
  <c r="AE63" i="3"/>
  <c r="AE91" i="3" s="1"/>
  <c r="AE40" i="3"/>
  <c r="AF42" i="3"/>
  <c r="AE141" i="3"/>
  <c r="AE138" i="3" s="1"/>
  <c r="AE137" i="3" s="1"/>
  <c r="J8" i="3" s="1"/>
  <c r="AF87" i="3" l="1"/>
  <c r="AF88" i="3" s="1"/>
  <c r="AF48" i="3"/>
  <c r="AE114" i="3"/>
  <c r="AE124" i="3"/>
  <c r="AE128" i="3"/>
  <c r="AE121" i="3"/>
  <c r="AE125" i="3"/>
  <c r="AE129" i="3"/>
  <c r="AE123" i="3"/>
  <c r="AE127" i="3"/>
  <c r="AE122" i="3"/>
  <c r="AE126" i="3"/>
  <c r="AE120" i="3"/>
  <c r="AE166" i="3"/>
  <c r="AE130" i="3" s="1"/>
  <c r="AF162" i="3"/>
  <c r="AE162" i="3" s="1"/>
  <c r="AF72" i="3"/>
  <c r="AF75" i="3" s="1"/>
  <c r="AF92" i="3"/>
  <c r="AF49" i="3"/>
  <c r="AF89" i="3"/>
  <c r="AF90" i="3"/>
  <c r="AF91" i="3" s="1"/>
  <c r="D23" i="13" l="1"/>
  <c r="AF81" i="3"/>
  <c r="AE81" i="3" s="1"/>
  <c r="E23" i="13"/>
  <c r="AF50" i="3"/>
  <c r="AF52" i="3" s="1"/>
  <c r="AF54" i="3" s="1"/>
  <c r="AF93" i="3"/>
  <c r="AF164" i="3" l="1"/>
  <c r="AE164" i="3" s="1"/>
  <c r="AE93" i="3"/>
  <c r="AF79" i="3"/>
  <c r="AE79" i="3" s="1"/>
  <c r="AF61" i="3"/>
  <c r="AF59" i="3"/>
  <c r="AF56" i="3"/>
  <c r="AF55" i="3"/>
  <c r="AF58" i="3"/>
  <c r="AF57" i="3"/>
  <c r="E25" i="13" l="1"/>
  <c r="D25" i="13"/>
  <c r="AF60" i="3"/>
  <c r="AF62" i="3"/>
  <c r="AF63" i="3" l="1"/>
  <c r="AF80" i="3" s="1"/>
  <c r="AF82" i="3" l="1"/>
  <c r="AF163" i="3" s="1"/>
  <c r="AE80" i="3"/>
  <c r="AE82" i="3" l="1"/>
  <c r="AF97" i="3"/>
  <c r="AF104" i="3" s="1"/>
  <c r="AE163" i="3"/>
  <c r="D24" i="13" s="1"/>
  <c r="E24" i="13"/>
  <c r="AF100" i="3" l="1"/>
  <c r="AF103" i="3"/>
  <c r="AF99" i="3"/>
  <c r="AF102" i="3"/>
  <c r="AF101" i="3"/>
  <c r="AF105" i="3" l="1"/>
  <c r="AF113" i="3" s="1"/>
  <c r="AE113" i="3" s="1"/>
  <c r="AE115" i="3" s="1"/>
  <c r="AF115" i="3" l="1"/>
  <c r="AF165" i="3" s="1"/>
  <c r="AF167" i="3" s="1"/>
  <c r="AF135" i="3" s="1"/>
  <c r="E26" i="13"/>
  <c r="AE165" i="3" l="1"/>
  <c r="AE167" i="3" s="1"/>
  <c r="D26" i="13" l="1"/>
  <c r="D27" i="13" l="1"/>
  <c r="D28" i="13" s="1"/>
  <c r="E27" i="13"/>
  <c r="E28" i="13" s="1"/>
  <c r="AF136" i="3"/>
  <c r="AF179" i="3" l="1"/>
  <c r="AF180" i="3" l="1"/>
  <c r="AF139" i="3" s="1"/>
  <c r="AF149" i="3" l="1"/>
  <c r="AF148" i="3" s="1"/>
  <c r="AF141" i="3"/>
  <c r="AF140" i="3"/>
  <c r="AF138" i="3" l="1"/>
  <c r="AF137" i="3"/>
  <c r="AF158" i="3" s="1"/>
  <c r="AF168" i="3" s="1"/>
  <c r="AE168" i="3" s="1"/>
  <c r="AE158" i="3" l="1"/>
  <c r="AF169" i="3"/>
  <c r="AF171" i="3" s="1"/>
  <c r="AF172" i="3" s="1"/>
  <c r="AF173" i="3" s="1"/>
  <c r="E29" i="13"/>
  <c r="E30" i="13" s="1"/>
  <c r="D35" i="13" s="1"/>
  <c r="D36" i="13" s="1"/>
  <c r="AE169" i="3"/>
  <c r="D29" i="13"/>
  <c r="D30" i="13" s="1"/>
  <c r="AF175" i="3" l="1"/>
  <c r="AF17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J5" authorId="0" shapeId="0" xr:uid="{00000000-0006-0000-0000-000001000000}">
      <text>
        <r>
          <rPr>
            <b/>
            <sz val="9"/>
            <color indexed="8"/>
            <rFont val="Tahoma"/>
            <charset val="1"/>
          </rPr>
          <t xml:space="preserve">gsales:
</t>
        </r>
        <r>
          <rPr>
            <sz val="9"/>
            <color indexed="8"/>
            <rFont val="Tahoma"/>
            <charset val="1"/>
          </rPr>
          <t>Digite:
1 - para empresa optante pelo SIMPLES NACIONAL; 
2 - para empresa submetida ao regime de Lucro Real; ou 
3 - para empresa submetida ao regime de Lucro Presumido.</t>
        </r>
      </text>
    </comment>
    <comment ref="AE91" authorId="0" shapeId="0" xr:uid="{00000000-0006-0000-0000-000002000000}">
      <text>
        <r>
          <rPr>
            <b/>
            <sz val="9"/>
            <color indexed="8"/>
            <rFont val="Tahoma"/>
            <charset val="1"/>
          </rPr>
          <t xml:space="preserve">gsales:
</t>
        </r>
        <r>
          <rPr>
            <sz val="9"/>
            <color indexed="8"/>
            <rFont val="Tahoma"/>
            <charset val="1"/>
          </rPr>
          <t>Percentual de dispensa sem justa causa com aviso prévio indenizado</t>
        </r>
      </text>
    </comment>
    <comment ref="AE93" authorId="0" shapeId="0" xr:uid="{00000000-0006-0000-0000-000003000000}">
      <text>
        <r>
          <rPr>
            <b/>
            <sz val="9"/>
            <color indexed="8"/>
            <rFont val="Tahoma"/>
            <charset val="1"/>
          </rPr>
          <t xml:space="preserve">gsales:
</t>
        </r>
        <r>
          <rPr>
            <sz val="9"/>
            <color indexed="8"/>
            <rFont val="Tahoma"/>
            <charset val="1"/>
          </rPr>
          <t>Considerando FGTS e CS o percentual é 4%; Considerando só FGTS, o parcentual é 3,2%</t>
        </r>
      </text>
    </comment>
    <comment ref="AE94" authorId="0" shapeId="0" xr:uid="{00000000-0006-0000-0000-000004000000}">
      <text>
        <r>
          <rPr>
            <b/>
            <sz val="9"/>
            <color indexed="8"/>
            <rFont val="Tahoma"/>
            <charset val="1"/>
          </rPr>
          <t xml:space="preserve">gsales:
</t>
        </r>
        <r>
          <rPr>
            <sz val="9"/>
            <color indexed="8"/>
            <rFont val="Tahoma"/>
            <charset val="1"/>
          </rPr>
          <t>Percentual de dispensa sem justa causa com aviso prévio trabalhado</t>
        </r>
      </text>
    </comment>
    <comment ref="AE96" authorId="0" shapeId="0" xr:uid="{00000000-0006-0000-0000-000005000000}">
      <text>
        <r>
          <rPr>
            <b/>
            <sz val="9"/>
            <color indexed="8"/>
            <rFont val="Tahoma"/>
            <charset val="1"/>
          </rPr>
          <t xml:space="preserve">gsales:
</t>
        </r>
        <r>
          <rPr>
            <sz val="9"/>
            <color indexed="8"/>
            <rFont val="Tahoma"/>
            <charset val="1"/>
          </rPr>
          <t>Considerando FGTS e CS o percentual é 4%; Considerando só FGTS, o parcentual é 3,2%</t>
        </r>
      </text>
    </comment>
    <comment ref="AE102" authorId="0" shapeId="0" xr:uid="{00000000-0006-0000-0000-000006000000}">
      <text>
        <r>
          <rPr>
            <b/>
            <sz val="9"/>
            <color indexed="8"/>
            <rFont val="Tahoma"/>
            <charset val="1"/>
          </rPr>
          <t xml:space="preserve">gsales:
</t>
        </r>
        <r>
          <rPr>
            <sz val="9"/>
            <color indexed="8"/>
            <rFont val="Tahoma"/>
            <charset val="1"/>
          </rPr>
          <t>Quantidade média de faltas por ano (em dias)</t>
        </r>
      </text>
    </comment>
    <comment ref="AE103" authorId="0" shapeId="0" xr:uid="{00000000-0006-0000-0000-000007000000}">
      <text>
        <r>
          <rPr>
            <b/>
            <sz val="9"/>
            <color indexed="8"/>
            <rFont val="Tahoma"/>
            <charset val="1"/>
          </rPr>
          <t xml:space="preserve">gsales:
</t>
        </r>
        <r>
          <rPr>
            <sz val="9"/>
            <color indexed="8"/>
            <rFont val="Tahoma"/>
            <charset val="1"/>
          </rPr>
          <t>Percentual da incidência de ocorrência da licença-paternidade</t>
        </r>
      </text>
    </comment>
    <comment ref="AE104" authorId="0" shapeId="0" xr:uid="{00000000-0006-0000-0000-000008000000}">
      <text>
        <r>
          <rPr>
            <b/>
            <sz val="9"/>
            <color indexed="8"/>
            <rFont val="Tahoma"/>
            <charset val="1"/>
          </rPr>
          <t xml:space="preserve">gsales:
</t>
        </r>
        <r>
          <rPr>
            <sz val="9"/>
            <color indexed="8"/>
            <rFont val="Tahoma"/>
            <charset val="1"/>
          </rPr>
          <t>Quantidade média de ausências legais por ano (em dias)</t>
        </r>
      </text>
    </comment>
    <comment ref="AE105" authorId="0" shapeId="0" xr:uid="{00000000-0006-0000-0000-000009000000}">
      <text>
        <r>
          <rPr>
            <b/>
            <sz val="9"/>
            <color indexed="8"/>
            <rFont val="Tahoma"/>
            <charset val="1"/>
          </rPr>
          <t xml:space="preserve">gsales:
</t>
        </r>
        <r>
          <rPr>
            <sz val="9"/>
            <color indexed="8"/>
            <rFont val="Tahoma"/>
            <charset val="1"/>
          </rPr>
          <t>Quantidade média de dias pagos pela empresa (em dias)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Thiago Crystian Matozo</author>
    <author xml:space="preserve"> </author>
  </authors>
  <commentList>
    <comment ref="J5" authorId="0" shapeId="0" xr:uid="{B948941E-780D-4DDC-8258-B01ACC6314C3}">
      <text>
        <r>
          <rPr>
            <sz val="9"/>
            <color indexed="81"/>
            <rFont val="Segoe UI"/>
            <family val="2"/>
          </rPr>
          <t>Inserir o nome da empresa proponente.</t>
        </r>
      </text>
    </comment>
    <comment ref="AE5" authorId="0" shapeId="0" xr:uid="{664996D4-EA4C-4C95-80A3-25D71228F1E2}">
      <text>
        <r>
          <rPr>
            <sz val="9"/>
            <color indexed="81"/>
            <rFont val="Segoe UI"/>
            <family val="2"/>
          </rPr>
          <t>Inserir o CNPJ da empresa proponente.</t>
        </r>
      </text>
    </comment>
    <comment ref="J7" authorId="1" shapeId="0" xr:uid="{00000000-0006-0000-0200-000001000000}">
      <text>
        <r>
          <rPr>
            <sz val="9"/>
            <color indexed="8"/>
            <rFont val="Tahoma"/>
            <charset val="1"/>
          </rPr>
          <t>Digite o número:
1 - para empresa optante pelo SIMPLES NACIONAL; 
2 - para empresa submetida ao regime de Lucro Real; ou 
3 - para empresa submetida ao regime de Lucro Presumido.</t>
        </r>
      </text>
    </comment>
    <comment ref="AE12" authorId="1" shapeId="0" xr:uid="{00000000-0006-0000-0200-000002000000}">
      <text>
        <r>
          <rPr>
            <sz val="9"/>
            <color indexed="8"/>
            <rFont val="Tahoma"/>
            <charset val="1"/>
          </rPr>
          <t xml:space="preserve">Local da prestação dos serviços
</t>
        </r>
      </text>
    </comment>
    <comment ref="AE13" authorId="0" shapeId="0" xr:uid="{94A373C2-AF68-4F24-9FA5-9C7BBE696F69}">
      <text>
        <r>
          <rPr>
            <sz val="9"/>
            <color indexed="81"/>
            <rFont val="Segoe UI"/>
            <family val="2"/>
          </rPr>
          <t>Arquivo "CCT Vigilantes" na íntegra consta na aba "VIII" desta planilha.</t>
        </r>
      </text>
    </comment>
    <comment ref="AG13" authorId="0" shapeId="0" xr:uid="{05A5340A-E629-416D-886E-291F17893953}">
      <text>
        <r>
          <rPr>
            <sz val="9"/>
            <color indexed="81"/>
            <rFont val="Segoe UI"/>
            <family val="2"/>
          </rPr>
          <t>Arquivo "CCT Vigilantes" na íntegra consta na aba "VIII" desta planilha.</t>
        </r>
      </text>
    </comment>
    <comment ref="AE14" authorId="1" shapeId="0" xr:uid="{00000000-0006-0000-0200-000004000000}">
      <text>
        <r>
          <rPr>
            <sz val="9"/>
            <color indexed="8"/>
            <rFont val="Tahoma"/>
            <charset val="1"/>
          </rPr>
          <t>Número de meses previstos inicialmente para a execução do contrato.</t>
        </r>
      </text>
    </comment>
    <comment ref="B18" authorId="1" shapeId="0" xr:uid="{00000000-0006-0000-0200-000005000000}">
      <text>
        <r>
          <rPr>
            <sz val="9"/>
            <color indexed="8"/>
            <rFont val="Tahoma"/>
            <charset val="1"/>
          </rPr>
          <t>Descrição suscinta do serviço conforme o Termo de Referência.</t>
        </r>
      </text>
    </comment>
    <comment ref="AE18" authorId="1" shapeId="0" xr:uid="{00000000-0006-0000-0200-000006000000}">
      <text>
        <r>
          <rPr>
            <sz val="9"/>
            <color indexed="8"/>
            <rFont val="Tahoma"/>
            <charset val="1"/>
          </rPr>
          <t>Número de trabalhadores por posto de trabalho:
- Normalmente, na jornada de 12x36h, são 2 (dois) empregados em sistema de revezamento.</t>
        </r>
      </text>
    </comment>
    <comment ref="AE19" authorId="1" shapeId="0" xr:uid="{00000000-0006-0000-0200-000007000000}">
      <text>
        <r>
          <rPr>
            <sz val="9"/>
            <color indexed="8"/>
            <rFont val="Tahoma"/>
            <charset val="1"/>
          </rPr>
          <t>Número de postos de trabalho a contratar.</t>
        </r>
      </text>
    </comment>
    <comment ref="AE20" authorId="1" shapeId="0" xr:uid="{86B5A816-B45F-409D-90DF-0A60D69FF316}">
      <text>
        <r>
          <rPr>
            <sz val="9"/>
            <color indexed="8"/>
            <rFont val="Tahoma"/>
            <charset val="1"/>
          </rPr>
          <t>Número de postos de trabalho a contratar.</t>
        </r>
      </text>
    </comment>
    <comment ref="AE21" authorId="1" shapeId="0" xr:uid="{00000000-0006-0000-0200-000008000000}">
      <text>
        <r>
          <rPr>
            <sz val="9"/>
            <color indexed="8"/>
            <rFont val="Tahoma"/>
            <charset val="1"/>
          </rPr>
          <t xml:space="preserve">Se for Jornada de Trabalho 12 x 36 marque um "X"
Caso contrário, deixe vazia esta célula.
</t>
        </r>
      </text>
    </comment>
    <comment ref="AE27" authorId="1" shapeId="0" xr:uid="{00000000-0006-0000-0200-000009000000}">
      <text>
        <r>
          <rPr>
            <sz val="9"/>
            <color indexed="8"/>
            <rFont val="Tahoma"/>
            <charset val="1"/>
          </rPr>
          <t>Ex. de CBO: 
Servente (5142-10); 
garçom (5134-05); 
vigilante (5173-30);
bombeiro (7142-10).</t>
        </r>
      </text>
    </comment>
    <comment ref="AE28" authorId="1" shapeId="0" xr:uid="{00000000-0006-0000-0200-00000A000000}">
      <text>
        <r>
          <rPr>
            <sz val="9"/>
            <color indexed="8"/>
            <rFont val="Tahoma"/>
            <charset val="1"/>
          </rPr>
          <t>Salário conforme previsto na CCT para a categoria funcional envolvida na prestação do serviço.</t>
        </r>
      </text>
    </comment>
    <comment ref="AG28" authorId="0" shapeId="0" xr:uid="{E5458861-AB8A-4F3C-A28A-4B6553E505AE}">
      <text>
        <r>
          <rPr>
            <sz val="9"/>
            <color indexed="81"/>
            <rFont val="Segoe UI"/>
            <family val="2"/>
          </rPr>
          <t>Arquivo "CCT Vigilantes" na íntegra consta na aba "VIII" desta planilha.</t>
        </r>
      </text>
    </comment>
    <comment ref="AE29" authorId="1" shapeId="0" xr:uid="{00000000-0006-0000-0200-00000B000000}">
      <text>
        <r>
          <rPr>
            <sz val="9"/>
            <color indexed="8"/>
            <rFont val="Tahoma"/>
            <charset val="1"/>
          </rPr>
          <t>Categoria funcional envolvida na prestação do serviço.
Ex.: Vigilante; ASG; Recepcionista...</t>
        </r>
      </text>
    </comment>
    <comment ref="AE30" authorId="1" shapeId="0" xr:uid="{00000000-0006-0000-0200-00000C000000}">
      <text>
        <r>
          <rPr>
            <sz val="9"/>
            <color indexed="8"/>
            <rFont val="Tahoma"/>
            <charset val="1"/>
          </rPr>
          <t>Data de início de vigência da CCT (Data-base)</t>
        </r>
      </text>
    </comment>
    <comment ref="AE31" authorId="1" shapeId="0" xr:uid="{00000000-0006-0000-0200-00000D000000}">
      <text>
        <r>
          <rPr>
            <sz val="9"/>
            <color indexed="8"/>
            <rFont val="Tahoma"/>
            <charset val="1"/>
          </rPr>
          <t>Salário mínimo vigente.</t>
        </r>
      </text>
    </comment>
    <comment ref="AF36" authorId="1" shapeId="0" xr:uid="{00000000-0006-0000-0200-00000F000000}">
      <text>
        <r>
          <rPr>
            <sz val="9"/>
            <color indexed="8"/>
            <rFont val="Tahoma"/>
            <charset val="1"/>
          </rPr>
          <t>Salário proposto pela contratada. Não pode ser inferior ao salário normativo da categoria previsto na CCT.</t>
        </r>
      </text>
    </comment>
    <comment ref="AE37" authorId="1" shapeId="0" xr:uid="{00000000-0006-0000-0200-000010000000}">
      <text>
        <r>
          <rPr>
            <sz val="9"/>
            <color indexed="8"/>
            <rFont val="Tahoma"/>
            <charset val="1"/>
          </rPr>
          <t>O percentual é aplicado sobre o salário base.</t>
        </r>
      </text>
    </comment>
    <comment ref="AD38" authorId="1" shapeId="0" xr:uid="{00000000-0006-0000-0200-000011000000}">
      <text>
        <r>
          <rPr>
            <sz val="9"/>
            <color indexed="8"/>
            <rFont val="Tahoma"/>
            <charset val="1"/>
          </rPr>
          <t xml:space="preserve">Deixando esta célula vazia, o percentual será aplicado sobre o salário mínimo vigente no local da prestação dos serviços.
Para incidir sobre o salário base, caso previsto na CCT, marque esta célula com um "X". </t>
        </r>
      </text>
    </comment>
    <comment ref="AE38" authorId="1" shapeId="0" xr:uid="{00000000-0006-0000-0200-000012000000}">
      <text>
        <r>
          <rPr>
            <sz val="9"/>
            <color indexed="8"/>
            <rFont val="Tahoma"/>
            <charset val="1"/>
          </rPr>
          <t>O percentual é aplicado sobre o salário mínimo vigente no local da prestação dos serviços, salvo se a CCT dispuser de modo diverso.
(mínimo: 10%; médio: 20%; ou máximo: 40%)</t>
        </r>
      </text>
    </comment>
    <comment ref="AD39" authorId="1" shapeId="0" xr:uid="{00000000-0006-0000-0200-000013000000}">
      <text>
        <r>
          <rPr>
            <sz val="9"/>
            <color indexed="8"/>
            <rFont val="Tahoma"/>
            <charset val="1"/>
          </rPr>
          <t xml:space="preserve">Caso não haja incidência de adicional noturno, deixe esta célula vazia!
Do contrário, informe o percentual que, ordinariamente, é de </t>
        </r>
        <r>
          <rPr>
            <b/>
            <sz val="9"/>
            <color indexed="8"/>
            <rFont val="Tahoma"/>
            <family val="2"/>
          </rPr>
          <t>20%</t>
        </r>
        <r>
          <rPr>
            <sz val="9"/>
            <color indexed="8"/>
            <rFont val="Tahoma"/>
            <charset val="1"/>
          </rPr>
          <t>, podendo ser de até 50%, se assim definido na CCT.
Hora Reduzida: 1h = 52'30"</t>
        </r>
      </text>
    </comment>
    <comment ref="AD40" authorId="1" shapeId="0" xr:uid="{00000000-0006-0000-0200-000014000000}">
      <text>
        <r>
          <rPr>
            <sz val="9"/>
            <color indexed="8"/>
            <rFont val="Tahoma"/>
            <charset val="1"/>
          </rPr>
          <t>Hora Reduzida: 1h = 52'30"</t>
        </r>
      </text>
    </comment>
    <comment ref="L41" authorId="1" shapeId="0" xr:uid="{00000000-0006-0000-0200-000015000000}">
      <text>
        <r>
          <rPr>
            <sz val="9"/>
            <color indexed="8"/>
            <rFont val="Tahoma"/>
            <charset val="1"/>
          </rPr>
          <t>Especifirar o eventual custo e explicitar a memória de cálculo e fundamento legal.</t>
        </r>
      </text>
    </comment>
    <comment ref="AF41" authorId="1" shapeId="0" xr:uid="{00000000-0006-0000-0200-000016000000}">
      <text>
        <r>
          <rPr>
            <sz val="9"/>
            <color indexed="8"/>
            <rFont val="Tahoma"/>
            <charset val="1"/>
          </rPr>
          <t>Informar o valor para um trabalhador por mês.</t>
        </r>
      </text>
    </comment>
    <comment ref="AD54" authorId="1" shapeId="0" xr:uid="{ADEFCC0C-4A77-402D-BF42-38CFD1EC5CC9}">
      <text>
        <r>
          <rPr>
            <sz val="9"/>
            <color indexed="8"/>
            <rFont val="Tahoma"/>
            <charset val="1"/>
          </rPr>
          <t xml:space="preserve">Caso a Empresa seja beneficiária da </t>
        </r>
        <r>
          <rPr>
            <b/>
            <sz val="9"/>
            <color indexed="8"/>
            <rFont val="Tahoma"/>
            <family val="2"/>
          </rPr>
          <t>Desoneração da Folha - INSS substituído pela CPRB - Lei 13.670/2018</t>
        </r>
        <r>
          <rPr>
            <sz val="9"/>
            <color indexed="8"/>
            <rFont val="Tahoma"/>
            <charset val="1"/>
          </rPr>
          <t>, marque esta célula com um "X". 
Caso contrário, deixe-a vazia.</t>
        </r>
      </text>
    </comment>
    <comment ref="AE56" authorId="1" shapeId="0" xr:uid="{00000000-0006-0000-0200-000018000000}">
      <text>
        <r>
          <rPr>
            <sz val="9"/>
            <color indexed="8"/>
            <rFont val="Tahoma"/>
            <charset val="1"/>
          </rPr>
          <t>Informar o percentual do RAT AJUSTADO (RAT X FAP), conforme o índice constante na GFIP.</t>
        </r>
      </text>
    </comment>
    <comment ref="L62" authorId="1" shapeId="0" xr:uid="{20BA3D3C-01BC-4B1A-8EFF-BDDEAA497725}">
      <text>
        <r>
          <rPr>
            <sz val="9"/>
            <color indexed="8"/>
            <rFont val="Tahoma"/>
            <charset val="1"/>
          </rPr>
          <t>Especifirar o eventual custo e explicitar a memória de cálculo e fundamento legal.</t>
        </r>
      </text>
    </comment>
    <comment ref="E67" authorId="0" shapeId="0" xr:uid="{66BDF98F-4E4E-4B8C-B014-F16433F0A29B}">
      <text>
        <r>
          <rPr>
            <b/>
            <sz val="9"/>
            <color indexed="81"/>
            <rFont val="Segoe UI"/>
            <family val="2"/>
          </rPr>
          <t xml:space="preserve">ATENÇÃO:
- No Município de Paranaguá/PR possui o programa "TARIFA ZERO" (Lei Complementar 269/2021 de Paranaguá PR): </t>
        </r>
        <r>
          <rPr>
            <sz val="9"/>
            <color indexed="81"/>
            <rFont val="Segoe UI"/>
            <family val="2"/>
          </rPr>
          <t xml:space="preserve">garante que o transporte público seja gratuito para o usuário. No entanto, a lei que instituiu o programa não desonera a empresa de sua obrigação de fornecer o vale-transporte aos funcionários que utilizam o sistema de transporte coletivo urbano.
</t>
        </r>
        <r>
          <rPr>
            <b/>
            <sz val="9"/>
            <color indexed="81"/>
            <rFont val="Segoe UI"/>
            <family val="2"/>
          </rPr>
          <t xml:space="preserve">Cálculo do custo por funcionário:
- Valor integral pago pela empresa = R$ 58,00 </t>
        </r>
        <r>
          <rPr>
            <sz val="9"/>
            <color indexed="81"/>
            <rFont val="Segoe UI"/>
            <family val="2"/>
          </rPr>
          <t xml:space="preserve">(esse valor deve ser inserido no sistema pela empresa para a compra do passe do funcionário). 
</t>
        </r>
        <r>
          <rPr>
            <b/>
            <sz val="9"/>
            <color indexed="81"/>
            <rFont val="Segoe UI"/>
            <family val="2"/>
          </rPr>
          <t xml:space="preserve">- Desconto máximo do salário do funcionário = </t>
        </r>
        <r>
          <rPr>
            <sz val="9"/>
            <color indexed="81"/>
            <rFont val="Segoe UI"/>
            <family val="2"/>
          </rPr>
          <t>Até 6% do salário-base do funcionário. O valor exato do desconto é a parte do salário que corresponde a até 6% do valor total do transporte, conforme a lei.</t>
        </r>
      </text>
    </comment>
    <comment ref="AE67" authorId="1" shapeId="0" xr:uid="{00000000-0006-0000-0200-000019000000}">
      <text>
        <r>
          <rPr>
            <sz val="9"/>
            <color indexed="8"/>
            <rFont val="Tahoma"/>
            <charset val="1"/>
          </rPr>
          <t>Número de vales transportes a serem fornecidos por mês a cada empregado da categoria.</t>
        </r>
      </text>
    </comment>
    <comment ref="AG67" authorId="0" shapeId="0" xr:uid="{8D358631-6259-4EF9-9FB7-D474DA8A5693}">
      <text>
        <r>
          <rPr>
            <sz val="9"/>
            <color indexed="81"/>
            <rFont val="Segoe UI"/>
            <family val="2"/>
          </rPr>
          <t>Arquivo "CCT Vigilantes" na íntegra consta na aba "VIII" desta planilha.</t>
        </r>
      </text>
    </comment>
    <comment ref="AE68" authorId="1" shapeId="0" xr:uid="{00000000-0006-0000-0200-00001A000000}">
      <text>
        <r>
          <rPr>
            <sz val="9"/>
            <color indexed="8"/>
            <rFont val="Tahoma"/>
            <charset val="1"/>
          </rPr>
          <t>Valor unitário do vale transporte (R$).</t>
        </r>
      </text>
    </comment>
    <comment ref="AE69" authorId="1" shapeId="0" xr:uid="{00000000-0006-0000-0200-00001B000000}">
      <text>
        <r>
          <rPr>
            <sz val="9"/>
            <color indexed="8"/>
            <rFont val="Tahoma"/>
            <charset val="1"/>
          </rPr>
          <t>Valor mensal de auxílio alimentação por empregado da categoria (CCT)</t>
        </r>
      </text>
    </comment>
    <comment ref="AE70" authorId="1" shapeId="0" xr:uid="{00000000-0006-0000-0200-00001C000000}">
      <text>
        <r>
          <rPr>
            <sz val="9"/>
            <color indexed="8"/>
            <rFont val="Tahoma"/>
            <charset val="1"/>
          </rPr>
          <t>Percentual de desconto do empregado sobre o auxílio alimentação (v. CCT).</t>
        </r>
      </text>
    </comment>
    <comment ref="AF71" authorId="1" shapeId="0" xr:uid="{00000000-0006-0000-0200-00001D000000}">
      <text>
        <r>
          <rPr>
            <sz val="9"/>
            <color indexed="8"/>
            <rFont val="Tahoma"/>
            <charset val="1"/>
          </rPr>
          <t>Explicitar memória de cálculo.</t>
        </r>
      </text>
    </comment>
    <comment ref="AE72" authorId="1" shapeId="0" xr:uid="{00000000-0006-0000-0200-00001E000000}">
      <text>
        <r>
          <rPr>
            <sz val="9"/>
            <color indexed="8"/>
            <rFont val="Tahoma"/>
            <charset val="1"/>
          </rPr>
          <t xml:space="preserve">No regime de trabalho 12 x 36, caso o empregado não usufrua o intervalo de repouso intrajornada (permanece trabalhando) marque um "X" nesta célula.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AF73" authorId="1" shapeId="0" xr:uid="{00000000-0006-0000-0200-00001F000000}">
      <text>
        <r>
          <rPr>
            <sz val="9"/>
            <color indexed="8"/>
            <rFont val="Tahoma"/>
            <charset val="1"/>
          </rPr>
          <t>Informar o valor para um empregado por mês, se for o caso, e explicitar a memória de cálculo.</t>
        </r>
      </text>
    </comment>
    <comment ref="AF74" authorId="1" shapeId="0" xr:uid="{8F747E61-5CDC-4AFC-AC79-4C24FB47A419}">
      <text>
        <r>
          <rPr>
            <sz val="9"/>
            <color indexed="8"/>
            <rFont val="Tahoma"/>
            <charset val="1"/>
          </rPr>
          <t>Informar o valor para um empregado por mês, se for o caso, e explicitar a memória de cálculo.</t>
        </r>
      </text>
    </comment>
    <comment ref="AD87" authorId="1" shapeId="0" xr:uid="{00000000-0006-0000-0200-000020000000}">
      <text>
        <r>
          <rPr>
            <sz val="9"/>
            <color indexed="8"/>
            <rFont val="Tahoma"/>
            <charset val="1"/>
          </rPr>
          <t>Percentual de dispensa sem justa causa com aviso prévio indenizado, durante a execução ou ao final do contrato. Ou seja, percentual estimado de empregados com previsão de pagamento de aviso prévio indenizado. OBS.: informação gerencial da empresa, observada a razoabilidade. Historicamente estimado em 5%.</t>
        </r>
      </text>
    </comment>
    <comment ref="AD90" authorId="1" shapeId="0" xr:uid="{00000000-0006-0000-0200-000021000000}">
      <text>
        <r>
          <rPr>
            <sz val="9"/>
            <color indexed="8"/>
            <rFont val="Tahoma"/>
            <charset val="1"/>
          </rPr>
          <t>Percentual de dispensa sem justa causa com aviso prévio trabalhado, durante a execução ou ao final do contrato. Ou seja, percentual estimado de empregados com previsão de pagamento de aviso prévio trabalhado. OBS.: informação gerencial da empresa, observada a razoabilidade. Historicamente estimado em 95%.</t>
        </r>
      </text>
    </comment>
    <comment ref="AD100" authorId="1" shapeId="0" xr:uid="{00000000-0006-0000-0200-000022000000}">
      <text>
        <r>
          <rPr>
            <sz val="9"/>
            <color indexed="8"/>
            <rFont val="Tahoma"/>
            <charset val="1"/>
          </rPr>
          <t>Número médio de dias de ausências legais no período de um ano (pode ser estimativa com base no histórico de contratos anteriores).  
OBS.: informação gerencial da empresa, observada a razoabilidade. (estimativa: 2 dias)</t>
        </r>
      </text>
    </comment>
    <comment ref="AD101" authorId="1" shapeId="0" xr:uid="{00000000-0006-0000-0200-000023000000}">
      <text>
        <r>
          <rPr>
            <sz val="9"/>
            <color indexed="8"/>
            <rFont val="Tahoma"/>
            <charset val="1"/>
          </rPr>
          <t>Percentual médio de afastamento de licença-paternidade no período de um ano (pode ser estimativa com base no histórico de contratos anteriores).  
OBS.: informação gerencial da empresa, observada a razoabilidade. (Estimativa: 2 %)</t>
        </r>
      </text>
    </comment>
    <comment ref="AD102" authorId="1" shapeId="0" xr:uid="{00000000-0006-0000-0200-000024000000}">
      <text>
        <r>
          <rPr>
            <sz val="9"/>
            <color indexed="8"/>
            <rFont val="Tahoma"/>
            <charset val="1"/>
          </rPr>
          <t>Percentual da incidência de ausência por acidente de trabalho no período de um ano (pode ser estimativa com base no histórico de contratos anteriores).  
OBS.: informação gerencial da empresa, observada a razoabilidade. (Estimativa 8 %)</t>
        </r>
      </text>
    </comment>
    <comment ref="AD103" authorId="1" shapeId="0" xr:uid="{00000000-0006-0000-0200-000025000000}">
      <text>
        <r>
          <rPr>
            <sz val="9"/>
            <color indexed="8"/>
            <rFont val="Tahoma"/>
            <charset val="1"/>
          </rPr>
          <t>Percentual da incidência de afastamento maternidade no período de um ano (pode ser estimativa com base no histórico de contratos anteriores).  
OBS.: informação gerencial da empresa, observada a razoabilidade. (Estimativa 3 %)</t>
        </r>
      </text>
    </comment>
    <comment ref="S104" authorId="1" shapeId="0" xr:uid="{00000000-0006-0000-0200-000026000000}">
      <text>
        <r>
          <rPr>
            <sz val="9"/>
            <color indexed="8"/>
            <rFont val="Tahoma"/>
            <charset val="1"/>
          </rPr>
          <t>Explicitar, se for o caso, inclusive com memória de cálculo.</t>
        </r>
      </text>
    </comment>
    <comment ref="AD104" authorId="0" shapeId="0" xr:uid="{FADA2A52-E4EF-4E1A-8EEB-C2EBAA943EAC}">
      <text>
        <r>
          <rPr>
            <sz val="9"/>
            <color indexed="81"/>
            <rFont val="Segoe UI"/>
            <family val="2"/>
          </rPr>
          <t>Inserir Qtde.</t>
        </r>
      </text>
    </comment>
    <comment ref="AF104" authorId="1" shapeId="0" xr:uid="{00000000-0006-0000-0200-000027000000}">
      <text>
        <r>
          <rPr>
            <sz val="9"/>
            <color indexed="8"/>
            <rFont val="Tahoma"/>
            <charset val="1"/>
          </rPr>
          <t>Informar o valor para um empregado por mês, se for o caso.</t>
        </r>
      </text>
    </comment>
    <comment ref="AE109" authorId="1" shapeId="0" xr:uid="{00000000-0006-0000-0200-000028000000}">
      <text>
        <r>
          <rPr>
            <sz val="9"/>
            <color indexed="8"/>
            <rFont val="Tahoma"/>
            <charset val="1"/>
          </rPr>
          <t xml:space="preserve">No regime de trabalho 12 x 36, a ocorrência deste item está relacionada ao submódulo 2.3-D.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E120" authorId="0" shapeId="0" xr:uid="{9A379FE1-F070-40B2-A568-D172DE389354}">
      <text>
        <r>
          <rPr>
            <sz val="9"/>
            <color indexed="81"/>
            <rFont val="Segoe UI"/>
            <family val="2"/>
          </rPr>
          <t>- Considerar cálculo do item para um empregado por mês, se for o caso.
- Preenchimentos na aba "VI. Insumos Diversos" desta planilha.</t>
        </r>
      </text>
    </comment>
    <comment ref="AF120" authorId="1" shapeId="0" xr:uid="{00000000-0006-0000-0200-000029000000}">
      <text>
        <r>
          <rPr>
            <sz val="9"/>
            <color indexed="8"/>
            <rFont val="Tahoma"/>
            <charset val="1"/>
          </rPr>
          <t>Valor para um empregado por mês, se for o caso.
- Preenchimentos na aba VI. Insumos Diversos.</t>
        </r>
      </text>
    </comment>
    <comment ref="E121" authorId="0" shapeId="0" xr:uid="{5F2A6972-8C08-481F-A256-9138E7F23CD1}">
      <text>
        <r>
          <rPr>
            <sz val="9"/>
            <color indexed="81"/>
            <rFont val="Segoe UI"/>
            <family val="2"/>
          </rPr>
          <t>- Considerar cálculo do item para um empregado por mês, se for o caso.
- Preenchimentos na aba "VI. Insumos Diversos" desta planilha.</t>
        </r>
      </text>
    </comment>
    <comment ref="AF121" authorId="1" shapeId="0" xr:uid="{F7B2F967-7CEB-46D0-93BE-E29F36F83D5E}">
      <text>
        <r>
          <rPr>
            <sz val="9"/>
            <color indexed="8"/>
            <rFont val="Tahoma"/>
            <charset val="1"/>
          </rPr>
          <t>Valor para um empregado por mês, se for o caso.
- Preenchimentos na aba VI. Insumos Diversos.</t>
        </r>
      </text>
    </comment>
    <comment ref="E122" authorId="0" shapeId="0" xr:uid="{18E655D3-CDB7-4F3F-A25F-DE6958DB8F88}">
      <text>
        <r>
          <rPr>
            <sz val="9"/>
            <color indexed="81"/>
            <rFont val="Segoe UI"/>
            <family val="2"/>
          </rPr>
          <t>- Considerar cálculo do item para um empregado por mês, se for o caso.
- Preenchimentos na aba "VI. Insumos Diversos" desta planilha.</t>
        </r>
      </text>
    </comment>
    <comment ref="AF122" authorId="1" shapeId="0" xr:uid="{FF97F623-4487-43C3-80C1-4A84A7B9BC13}">
      <text>
        <r>
          <rPr>
            <sz val="9"/>
            <color indexed="8"/>
            <rFont val="Tahoma"/>
            <charset val="1"/>
          </rPr>
          <t>Valor para um empregado por mês, se for o caso.
- Preenchimentos na aba VI. Insumos Diversos.</t>
        </r>
      </text>
    </comment>
    <comment ref="E123" authorId="0" shapeId="0" xr:uid="{5768D369-2223-4970-8019-A835A45D9E5A}">
      <text>
        <r>
          <rPr>
            <sz val="9"/>
            <color indexed="81"/>
            <rFont val="Segoe UI"/>
            <family val="2"/>
          </rPr>
          <t>- Considerar cálculo do item para um empregado por mês, se for o caso.
- Preenchimentos na aba "VI. Insumos Diversos" desta planilha.</t>
        </r>
      </text>
    </comment>
    <comment ref="AF123" authorId="1" shapeId="0" xr:uid="{985F2CDF-38A8-4C4F-871A-FAC6FB9D56F0}">
      <text>
        <r>
          <rPr>
            <sz val="9"/>
            <color indexed="8"/>
            <rFont val="Tahoma"/>
            <charset val="1"/>
          </rPr>
          <t>Valor para um empregado por mês, se for o caso.
- Preenchimentos na aba VI. Insumos Diversos.</t>
        </r>
      </text>
    </comment>
    <comment ref="E124" authorId="0" shapeId="0" xr:uid="{059EAA9F-FAA9-4A43-A084-0D32C8F504B0}">
      <text>
        <r>
          <rPr>
            <sz val="9"/>
            <color indexed="81"/>
            <rFont val="Segoe UI"/>
            <family val="2"/>
          </rPr>
          <t>- Considerar cálculo do item para um empregado por mês, se for o caso.
- Preenchimentos na aba "VI. Insumos Diversos" desta planilha.</t>
        </r>
      </text>
    </comment>
    <comment ref="AF124" authorId="1" shapeId="0" xr:uid="{4799913D-90CE-4C24-9333-C091A55763C2}">
      <text>
        <r>
          <rPr>
            <sz val="9"/>
            <color indexed="8"/>
            <rFont val="Tahoma"/>
            <charset val="1"/>
          </rPr>
          <t>Valor para um empregado por mês, se for o caso.
- Preenchimentos na aba VI. Insumos Diversos.</t>
        </r>
      </text>
    </comment>
    <comment ref="E125" authorId="0" shapeId="0" xr:uid="{6AE955EC-C177-470C-80A4-9E72019652BA}">
      <text>
        <r>
          <rPr>
            <sz val="9"/>
            <color indexed="81"/>
            <rFont val="Segoe UI"/>
            <family val="2"/>
          </rPr>
          <t>- Considerar cálculo do item para um empregado por mês, se for o caso.
- Preenchimentos na aba "VI. Insumos Diversos" desta planilha.</t>
        </r>
      </text>
    </comment>
    <comment ref="AF125" authorId="1" shapeId="0" xr:uid="{B25DD78F-B4C2-49C3-82B6-0560BD18A51B}">
      <text>
        <r>
          <rPr>
            <sz val="9"/>
            <color indexed="8"/>
            <rFont val="Tahoma"/>
            <charset val="1"/>
          </rPr>
          <t>Valor para um empregado por mês, se for o caso.
- Preenchimentos na aba VI. Insumos Diversos.</t>
        </r>
      </text>
    </comment>
    <comment ref="E126" authorId="0" shapeId="0" xr:uid="{BAACA931-CCB5-4E11-9FB2-832052D0E4D8}">
      <text>
        <r>
          <rPr>
            <sz val="9"/>
            <color indexed="81"/>
            <rFont val="Segoe UI"/>
            <family val="2"/>
          </rPr>
          <t>- Considerar cálculo do item para um empregado por mês, se for o caso.
- Preenchimentos na aba "VI. Insumos Diversos" desta planilha.</t>
        </r>
      </text>
    </comment>
    <comment ref="AF126" authorId="1" shapeId="0" xr:uid="{A05CDA93-85B3-4A86-BA0F-4DA8CBFCBA7A}">
      <text>
        <r>
          <rPr>
            <sz val="9"/>
            <color indexed="8"/>
            <rFont val="Tahoma"/>
            <charset val="1"/>
          </rPr>
          <t>Valor para um empregado por mês, se for o caso.
- Preenchimentos na aba VI. Insumos Diversos.</t>
        </r>
      </text>
    </comment>
    <comment ref="E127" authorId="0" shapeId="0" xr:uid="{6E4468A6-82CE-48A0-99F3-2B634E69A6B0}">
      <text>
        <r>
          <rPr>
            <sz val="9"/>
            <color indexed="81"/>
            <rFont val="Segoe UI"/>
            <family val="2"/>
          </rPr>
          <t>- Considerar cálculo do item para um empregado por mês, se for o caso.
- Preenchimentos na aba "VI. Insumos Diversos" desta planilha.</t>
        </r>
      </text>
    </comment>
    <comment ref="AF127" authorId="1" shapeId="0" xr:uid="{03F4F899-7165-4DC4-B080-26C7B8159FDE}">
      <text>
        <r>
          <rPr>
            <sz val="9"/>
            <color indexed="8"/>
            <rFont val="Tahoma"/>
            <charset val="1"/>
          </rPr>
          <t>Valor para um empregado por mês, se for o caso.
- Preenchimentos na aba VI. Insumos Diversos.</t>
        </r>
      </text>
    </comment>
    <comment ref="E128" authorId="0" shapeId="0" xr:uid="{0BA68CDA-528E-4598-810B-EC769E78B5E5}">
      <text>
        <r>
          <rPr>
            <sz val="9"/>
            <color indexed="81"/>
            <rFont val="Segoe UI"/>
            <family val="2"/>
          </rPr>
          <t>- Considerar cálculo do item para um empregado por mês, se for o caso.
- Preenchimentos na aba "VI. Insumos Diversos" desta planilha.</t>
        </r>
      </text>
    </comment>
    <comment ref="AF128" authorId="1" shapeId="0" xr:uid="{4B484C13-38E1-4037-9564-7C3546F4CEC1}">
      <text>
        <r>
          <rPr>
            <sz val="9"/>
            <color indexed="8"/>
            <rFont val="Tahoma"/>
            <charset val="1"/>
          </rPr>
          <t>Valor para um empregado por mês, se for o caso.
- Preenchimentos na aba VI. Insumos Diversos.</t>
        </r>
      </text>
    </comment>
    <comment ref="AF129" authorId="1" shapeId="0" xr:uid="{1A327097-8C23-49E6-94CC-BC2B99E6A039}">
      <text>
        <r>
          <rPr>
            <sz val="9"/>
            <color indexed="8"/>
            <rFont val="Tahoma"/>
            <charset val="1"/>
          </rPr>
          <t xml:space="preserve">Valor para um empregado por mês, se for o caso.
</t>
        </r>
      </text>
    </comment>
    <comment ref="AE135" authorId="1" shapeId="0" xr:uid="{00000000-0006-0000-0200-00002C000000}">
      <text>
        <r>
          <rPr>
            <sz val="9"/>
            <color indexed="8"/>
            <rFont val="Tahoma"/>
            <charset val="1"/>
          </rPr>
          <t>Percentual a título de custos indiretos.
Historicamente: Máximo 10,79%</t>
        </r>
      </text>
    </comment>
    <comment ref="AE136" authorId="1" shapeId="0" xr:uid="{00000000-0006-0000-0200-00002D000000}">
      <text>
        <r>
          <rPr>
            <sz val="9"/>
            <color indexed="8"/>
            <rFont val="Tahoma"/>
            <charset val="1"/>
          </rPr>
          <t>Percentual a título de taxa de lucro.
Historicamente: máximo 10%</t>
        </r>
      </text>
    </comment>
    <comment ref="AD141" authorId="1" shapeId="0" xr:uid="{00000000-0006-0000-0200-00002E000000}">
      <text>
        <r>
          <rPr>
            <sz val="9"/>
            <color indexed="8"/>
            <rFont val="Tahoma"/>
            <charset val="1"/>
          </rPr>
          <t>Caso a empresa seja beneficiária da desoneração da folha de pagamento, quando o INSS do submódulo 2.2-A é substituído pela CPRB - Contribuição Previdenciária sobre a Receita Bruta, é necessário informar a alíquota devida nesta célula.
Caso não seja informada, será atribuída a alíquota de 4,5%.</t>
        </r>
      </text>
    </comment>
    <comment ref="B176" authorId="1" shapeId="0" xr:uid="{00000000-0006-0000-0200-00002F000000}">
      <text>
        <r>
          <rPr>
            <sz val="9"/>
            <color indexed="8"/>
            <rFont val="Tahoma"/>
            <charset val="1"/>
          </rPr>
          <t xml:space="preserve">Especificar a descrição do valor unitário que se pretende calcular.
Exemplos: 
Valor da Diária: (divisor: 30)
Valor da Hora: (divisor: jornada mensal)
</t>
        </r>
      </text>
    </comment>
    <comment ref="AE176" authorId="1" shapeId="0" xr:uid="{00000000-0006-0000-0200-000030000000}">
      <text>
        <r>
          <rPr>
            <sz val="9"/>
            <color indexed="8"/>
            <rFont val="Tahoma"/>
            <charset val="1"/>
          </rPr>
          <t>Informar o divisor para apurar o valor unitário pela unidade indicada, se necessário.
Exemplos: 
Valor da Diária: (divisor: 30)
Valor da Hora: (divisor: jornada mensal)</t>
        </r>
      </text>
    </comment>
    <comment ref="B177" authorId="1" shapeId="0" xr:uid="{00000000-0006-0000-0200-000031000000}">
      <text>
        <r>
          <rPr>
            <sz val="9"/>
            <color indexed="8"/>
            <rFont val="Tahoma"/>
            <charset val="1"/>
          </rPr>
          <t>Especificar a descrição do valor unitário que se pretende calcular.
Exemplos: 
Valor da Diária: (divisor: 30)
Valor da Hora: (divisor: jornada mensal)</t>
        </r>
      </text>
    </comment>
    <comment ref="AE177" authorId="1" shapeId="0" xr:uid="{00000000-0006-0000-0200-000032000000}">
      <text>
        <r>
          <rPr>
            <sz val="9"/>
            <color indexed="8"/>
            <rFont val="Tahoma"/>
            <charset val="1"/>
          </rPr>
          <t>Informar o divisor para apurar o valor unitário pela unidade indicada, se necessário.
Exemplos: 
Valor da Diária: (divisor: 30)
Valor da Hora: (divisor: jornada mensal)</t>
        </r>
      </text>
    </comment>
    <comment ref="AD180" authorId="1" shapeId="0" xr:uid="{00000000-0006-0000-0200-000033000000}">
      <text>
        <r>
          <rPr>
            <b/>
            <sz val="9"/>
            <color indexed="8"/>
            <rFont val="Tahoma"/>
            <family val="2"/>
          </rPr>
          <t>Informe o regime tributário da empresa na célular "J4", digitando o número</t>
        </r>
        <r>
          <rPr>
            <sz val="9"/>
            <color indexed="8"/>
            <rFont val="Tahoma"/>
            <charset val="1"/>
          </rPr>
          <t>:
1 - para empresa optante pelo SIMPLES NACIONAL; 
2 - para empresa submetida ao regime de Lucro Real; ou 
3 - para empresa submetida ao regime de Lucro Presumido.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Thiago Crystian Matozo</author>
    <author xml:space="preserve"> </author>
  </authors>
  <commentList>
    <comment ref="J5" authorId="0" shapeId="0" xr:uid="{12836830-2469-4595-8888-76983F07346F}">
      <text>
        <r>
          <rPr>
            <sz val="9"/>
            <color indexed="81"/>
            <rFont val="Segoe UI"/>
            <family val="2"/>
          </rPr>
          <t>Inserir o nome da empresa proponente.</t>
        </r>
      </text>
    </comment>
    <comment ref="AE5" authorId="0" shapeId="0" xr:uid="{252F4D6E-F908-4C14-B684-6A61B0812C01}">
      <text>
        <r>
          <rPr>
            <sz val="9"/>
            <color indexed="81"/>
            <rFont val="Segoe UI"/>
            <family val="2"/>
          </rPr>
          <t>Inserir o CNPJ da empresa proponente.</t>
        </r>
      </text>
    </comment>
    <comment ref="J7" authorId="1" shapeId="0" xr:uid="{BD0B0EE7-8977-481B-8D18-470BE9D68D03}">
      <text>
        <r>
          <rPr>
            <sz val="9"/>
            <color indexed="8"/>
            <rFont val="Tahoma"/>
            <charset val="1"/>
          </rPr>
          <t>Digite o número:
1 - para empresa optante pelo SIMPLES NACIONAL; 
2 - para empresa submetida ao regime de Lucro Real; ou 
3 - para empresa submetida ao regime de Lucro Presumido.</t>
        </r>
      </text>
    </comment>
    <comment ref="AE12" authorId="1" shapeId="0" xr:uid="{DEE7E98A-4DA8-45F1-9579-EEF9FB7F8E01}">
      <text>
        <r>
          <rPr>
            <sz val="9"/>
            <color indexed="8"/>
            <rFont val="Tahoma"/>
            <charset val="1"/>
          </rPr>
          <t xml:space="preserve">Local da prestação dos serviços
</t>
        </r>
      </text>
    </comment>
    <comment ref="AE13" authorId="0" shapeId="0" xr:uid="{97E61479-9587-48A3-AD40-8DF7283568D6}">
      <text>
        <r>
          <rPr>
            <sz val="9"/>
            <color indexed="81"/>
            <rFont val="Segoe UI"/>
            <family val="2"/>
          </rPr>
          <t>Arquivo "CCT Vigilantes" na íntegra consta na aba "VIII" desta planilha.</t>
        </r>
      </text>
    </comment>
    <comment ref="AE14" authorId="1" shapeId="0" xr:uid="{28C28043-8BDB-4DB5-9158-720B2E05C50F}">
      <text>
        <r>
          <rPr>
            <sz val="9"/>
            <color indexed="8"/>
            <rFont val="Tahoma"/>
            <charset val="1"/>
          </rPr>
          <t>Número de meses previstos inicialmente para a execução do contrato.</t>
        </r>
      </text>
    </comment>
    <comment ref="B18" authorId="1" shapeId="0" xr:uid="{268FF114-C2DA-4B76-B302-6002C2844BF7}">
      <text>
        <r>
          <rPr>
            <sz val="9"/>
            <color indexed="8"/>
            <rFont val="Tahoma"/>
            <charset val="1"/>
          </rPr>
          <t>Descrição suscinta do serviço conforme o Termo de Referência.</t>
        </r>
      </text>
    </comment>
    <comment ref="AE18" authorId="1" shapeId="0" xr:uid="{AB2AB906-7BF5-447D-A450-AA6D33910257}">
      <text>
        <r>
          <rPr>
            <sz val="9"/>
            <color indexed="8"/>
            <rFont val="Tahoma"/>
            <charset val="1"/>
          </rPr>
          <t>Número de trabalhadores por posto de trabalho:
- Normalmente, na jornada de 12x36h, são 2 (dois) empregados em sistema de revezamento.</t>
        </r>
      </text>
    </comment>
    <comment ref="AE19" authorId="1" shapeId="0" xr:uid="{15EAA22D-1705-42F6-AF6A-B9A56943014A}">
      <text>
        <r>
          <rPr>
            <sz val="9"/>
            <color indexed="8"/>
            <rFont val="Tahoma"/>
            <charset val="1"/>
          </rPr>
          <t>Número de postos de trabalho a contratar.</t>
        </r>
      </text>
    </comment>
    <comment ref="AE20" authorId="1" shapeId="0" xr:uid="{32EA7A2E-BD84-49EE-AE9D-3AAB0561A718}">
      <text>
        <r>
          <rPr>
            <sz val="9"/>
            <color indexed="8"/>
            <rFont val="Tahoma"/>
            <charset val="1"/>
          </rPr>
          <t>Número de postos de trabalho a contratar.</t>
        </r>
      </text>
    </comment>
    <comment ref="AE21" authorId="1" shapeId="0" xr:uid="{B50B508F-2899-4495-A0E9-14D64295B893}">
      <text>
        <r>
          <rPr>
            <sz val="9"/>
            <color indexed="8"/>
            <rFont val="Tahoma"/>
            <charset val="1"/>
          </rPr>
          <t xml:space="preserve">Se for Jornada de Trabalho 12 x 36 marque um "X"
Caso contrário, deixe vazia esta célula.
</t>
        </r>
      </text>
    </comment>
    <comment ref="AE27" authorId="1" shapeId="0" xr:uid="{67C3F834-8779-4CCE-96D8-1EA02748134C}">
      <text>
        <r>
          <rPr>
            <sz val="9"/>
            <color indexed="8"/>
            <rFont val="Tahoma"/>
            <charset val="1"/>
          </rPr>
          <t>Ex. de CBO: 
Servente (5142-10); 
garçom (5134-05); 
vigilante (5173-30);
bombeiro (7142-10).</t>
        </r>
      </text>
    </comment>
    <comment ref="AE28" authorId="1" shapeId="0" xr:uid="{BF12AA7C-A568-4749-A7F0-86880B416F76}">
      <text>
        <r>
          <rPr>
            <sz val="9"/>
            <color indexed="8"/>
            <rFont val="Tahoma"/>
            <charset val="1"/>
          </rPr>
          <t>Salário conforme previsto na CCT para a categoria funcional envolvida na prestação do serviço.</t>
        </r>
      </text>
    </comment>
    <comment ref="AG28" authorId="0" shapeId="0" xr:uid="{1550DCC6-3D31-4BF5-88B7-BECD5F6822DD}">
      <text>
        <r>
          <rPr>
            <sz val="9"/>
            <color indexed="81"/>
            <rFont val="Segoe UI"/>
            <family val="2"/>
          </rPr>
          <t>Arquivo "CCT Vigilantes" na íntegra consta na aba "VIII" desta planilha.</t>
        </r>
      </text>
    </comment>
    <comment ref="AE29" authorId="1" shapeId="0" xr:uid="{8BB9CC78-7626-4B70-8985-1D162D58313D}">
      <text>
        <r>
          <rPr>
            <sz val="9"/>
            <color indexed="8"/>
            <rFont val="Tahoma"/>
            <charset val="1"/>
          </rPr>
          <t>Categoria funcional envolvida na prestação do serviço.
Ex.: Vigilante; ASG; Recepcionista...</t>
        </r>
      </text>
    </comment>
    <comment ref="AE30" authorId="1" shapeId="0" xr:uid="{1291EE66-F3BA-4F37-B60A-2B36BF3C4E5B}">
      <text>
        <r>
          <rPr>
            <sz val="9"/>
            <color indexed="8"/>
            <rFont val="Tahoma"/>
            <charset val="1"/>
          </rPr>
          <t>Data de início de vigência da CCT (Data-base)</t>
        </r>
      </text>
    </comment>
    <comment ref="AE31" authorId="1" shapeId="0" xr:uid="{5A3B2249-02E7-4A77-9173-8CC059F12879}">
      <text>
        <r>
          <rPr>
            <sz val="9"/>
            <color indexed="8"/>
            <rFont val="Tahoma"/>
            <charset val="1"/>
          </rPr>
          <t>Salário mínimo vigente.</t>
        </r>
      </text>
    </comment>
    <comment ref="AF36" authorId="1" shapeId="0" xr:uid="{ED718D33-6B9B-460A-BCF4-F4EFD41BF084}">
      <text>
        <r>
          <rPr>
            <sz val="9"/>
            <color indexed="8"/>
            <rFont val="Tahoma"/>
            <charset val="1"/>
          </rPr>
          <t>Salário proposto pela contratada. Não pode ser inferior ao salário normativo da categoria previsto na CCT.</t>
        </r>
      </text>
    </comment>
    <comment ref="AE37" authorId="1" shapeId="0" xr:uid="{2474EC3E-555C-4CE9-9037-F6BFC5EFE50D}">
      <text>
        <r>
          <rPr>
            <sz val="9"/>
            <color indexed="8"/>
            <rFont val="Tahoma"/>
            <charset val="1"/>
          </rPr>
          <t>O percentual é aplicado sobre o salário base.</t>
        </r>
      </text>
    </comment>
    <comment ref="AD38" authorId="1" shapeId="0" xr:uid="{BA218334-FD65-448E-95B2-2338433CFBFE}">
      <text>
        <r>
          <rPr>
            <sz val="9"/>
            <color indexed="8"/>
            <rFont val="Tahoma"/>
            <charset val="1"/>
          </rPr>
          <t xml:space="preserve">Deixando esta célula vazia, o percentual será aplicado sobre o salário mínimo vigente no local da prestação dos serviços.
Para incidir sobre o salário base, caso previsto na CCT, marque esta célula com um "X". </t>
        </r>
      </text>
    </comment>
    <comment ref="AE38" authorId="1" shapeId="0" xr:uid="{44562252-414B-46D0-B0C4-88CFE0C16473}">
      <text>
        <r>
          <rPr>
            <sz val="9"/>
            <color indexed="8"/>
            <rFont val="Tahoma"/>
            <charset val="1"/>
          </rPr>
          <t>O percentual é aplicado sobre o salário mínimo vigente no local da prestação dos serviços, salvo se a CCT dispuser de modo diverso.
(mínimo: 10%; médio: 20%; ou máximo: 40%)</t>
        </r>
      </text>
    </comment>
    <comment ref="AD39" authorId="1" shapeId="0" xr:uid="{E7E1CE8D-6E1B-41EA-AF96-B54B9E84F539}">
      <text>
        <r>
          <rPr>
            <sz val="9"/>
            <color indexed="8"/>
            <rFont val="Tahoma"/>
            <charset val="1"/>
          </rPr>
          <t xml:space="preserve">Caso não haja incidência de adicional noturno, deixe esta célula vazia!
Do contrário, informe o percentual que, ordinariamente, é de </t>
        </r>
        <r>
          <rPr>
            <b/>
            <sz val="9"/>
            <color indexed="8"/>
            <rFont val="Tahoma"/>
            <family val="2"/>
          </rPr>
          <t>20%</t>
        </r>
        <r>
          <rPr>
            <sz val="9"/>
            <color indexed="8"/>
            <rFont val="Tahoma"/>
            <charset val="1"/>
          </rPr>
          <t>, podendo ser de até 50%, se assim definido na CCT.
Hora Reduzida: 1h = 52'30"</t>
        </r>
      </text>
    </comment>
    <comment ref="AD40" authorId="1" shapeId="0" xr:uid="{7331C8FF-2732-45C3-AFBA-A70A05B78E40}">
      <text>
        <r>
          <rPr>
            <sz val="9"/>
            <color indexed="8"/>
            <rFont val="Tahoma"/>
            <charset val="1"/>
          </rPr>
          <t>Hora Reduzida: 1h = 52'30"</t>
        </r>
      </text>
    </comment>
    <comment ref="L41" authorId="1" shapeId="0" xr:uid="{AFC30A97-EEB3-4E54-9864-D085C14B632D}">
      <text>
        <r>
          <rPr>
            <sz val="9"/>
            <color indexed="8"/>
            <rFont val="Tahoma"/>
            <charset val="1"/>
          </rPr>
          <t>Especifirar o eventual custo e explicitar a memória de cálculo e fundamento legal.</t>
        </r>
      </text>
    </comment>
    <comment ref="AF41" authorId="1" shapeId="0" xr:uid="{EEC7941A-AD52-487D-BC65-C0D35B540269}">
      <text>
        <r>
          <rPr>
            <sz val="9"/>
            <color indexed="8"/>
            <rFont val="Tahoma"/>
            <charset val="1"/>
          </rPr>
          <t>Informar o valor para um trabalhador por mês.</t>
        </r>
      </text>
    </comment>
    <comment ref="AD54" authorId="1" shapeId="0" xr:uid="{7014CA16-3CDC-46AE-B4D0-B2773B790ADA}">
      <text>
        <r>
          <rPr>
            <sz val="9"/>
            <color indexed="8"/>
            <rFont val="Tahoma"/>
            <charset val="1"/>
          </rPr>
          <t xml:space="preserve">Caso a Empresa seja beneficiária da </t>
        </r>
        <r>
          <rPr>
            <b/>
            <sz val="9"/>
            <color indexed="8"/>
            <rFont val="Tahoma"/>
            <family val="2"/>
          </rPr>
          <t>Desoneração da Folha - INSS substituído pela CPRB - Lei 13.670/2018</t>
        </r>
        <r>
          <rPr>
            <sz val="9"/>
            <color indexed="8"/>
            <rFont val="Tahoma"/>
            <charset val="1"/>
          </rPr>
          <t>, marque esta célula com um "X". 
Caso contrário, deixe-a vazia.</t>
        </r>
      </text>
    </comment>
    <comment ref="AE56" authorId="1" shapeId="0" xr:uid="{3E19A4E2-160D-4B7D-80D8-8C85F901657E}">
      <text>
        <r>
          <rPr>
            <sz val="9"/>
            <color indexed="8"/>
            <rFont val="Tahoma"/>
            <charset val="1"/>
          </rPr>
          <t>Informar o percentual do RAT AJUSTADO (RAT X FAP), conforme o índice constante na GFIP.</t>
        </r>
      </text>
    </comment>
    <comment ref="L62" authorId="1" shapeId="0" xr:uid="{7334C89D-F39E-47B5-82C6-CB45C8FF093B}">
      <text>
        <r>
          <rPr>
            <sz val="9"/>
            <color indexed="8"/>
            <rFont val="Tahoma"/>
            <charset val="1"/>
          </rPr>
          <t>Especifirar o eventual custo e explicitar a memória de cálculo e fundamento legal.</t>
        </r>
      </text>
    </comment>
    <comment ref="E67" authorId="0" shapeId="0" xr:uid="{A9A84789-BEDE-40E3-80E5-B96318B89650}">
      <text>
        <r>
          <rPr>
            <b/>
            <sz val="9"/>
            <color indexed="81"/>
            <rFont val="Segoe UI"/>
            <family val="2"/>
          </rPr>
          <t xml:space="preserve">ATENÇÃO:
- No Município de Paranaguá/PR possui o programa "TARIFA ZERO" (Lei Complementar 269/2021 de Paranaguá PR): </t>
        </r>
        <r>
          <rPr>
            <sz val="9"/>
            <color indexed="81"/>
            <rFont val="Segoe UI"/>
            <family val="2"/>
          </rPr>
          <t xml:space="preserve">garante que o transporte público seja gratuito para o usuário. No entanto, a lei que instituiu o programa não desonera a empresa de sua obrigação de fornecer o vale-transporte aos funcionários que utilizam o sistema de transporte coletivo urbano.
</t>
        </r>
        <r>
          <rPr>
            <b/>
            <sz val="9"/>
            <color indexed="81"/>
            <rFont val="Segoe UI"/>
            <family val="2"/>
          </rPr>
          <t xml:space="preserve">Cálculo do custo por funcionário:
- Valor integral pago pela empresa = R$ 58,00 </t>
        </r>
        <r>
          <rPr>
            <sz val="9"/>
            <color indexed="81"/>
            <rFont val="Segoe UI"/>
            <family val="2"/>
          </rPr>
          <t xml:space="preserve">(esse valor deve ser inserido no sistema pela empresa para a compra do passe do funcionário). 
</t>
        </r>
        <r>
          <rPr>
            <b/>
            <sz val="9"/>
            <color indexed="81"/>
            <rFont val="Segoe UI"/>
            <family val="2"/>
          </rPr>
          <t xml:space="preserve">- Desconto máximo do salário do funcionário = </t>
        </r>
        <r>
          <rPr>
            <sz val="9"/>
            <color indexed="81"/>
            <rFont val="Segoe UI"/>
            <family val="2"/>
          </rPr>
          <t>Até 6% do salário-base do funcionário. O valor exato do desconto é a parte do salário que corresponde a até 6% do valor total do transporte, conforme a lei.</t>
        </r>
      </text>
    </comment>
    <comment ref="AE67" authorId="1" shapeId="0" xr:uid="{DBA8F79D-36FD-4D76-9FA0-A4FD5ED17459}">
      <text>
        <r>
          <rPr>
            <sz val="9"/>
            <color indexed="8"/>
            <rFont val="Tahoma"/>
            <charset val="1"/>
          </rPr>
          <t>Número de vales transportes a serem fornecidos por mês a cada empregado da categoria.</t>
        </r>
      </text>
    </comment>
    <comment ref="AG67" authorId="0" shapeId="0" xr:uid="{ACD4D879-253D-4865-8311-20800784C4ED}">
      <text>
        <r>
          <rPr>
            <sz val="9"/>
            <color indexed="81"/>
            <rFont val="Segoe UI"/>
            <family val="2"/>
          </rPr>
          <t>Arquivo "CCT Vigilantes" na íntegra consta na aba "VIII" desta planilha.</t>
        </r>
      </text>
    </comment>
    <comment ref="AE68" authorId="1" shapeId="0" xr:uid="{516F56F1-FC1C-450B-B392-E1F31C668CFC}">
      <text>
        <r>
          <rPr>
            <sz val="9"/>
            <color indexed="8"/>
            <rFont val="Tahoma"/>
            <charset val="1"/>
          </rPr>
          <t>Valor unitário do vale transporte (R$).</t>
        </r>
      </text>
    </comment>
    <comment ref="AE69" authorId="1" shapeId="0" xr:uid="{9B8D3B98-4336-4583-A4E2-17C6B37F5AEC}">
      <text>
        <r>
          <rPr>
            <sz val="9"/>
            <color indexed="8"/>
            <rFont val="Tahoma"/>
            <charset val="1"/>
          </rPr>
          <t>Valor mensal de auxílio alimentação por empregado da categoria (CCT)</t>
        </r>
      </text>
    </comment>
    <comment ref="AE70" authorId="1" shapeId="0" xr:uid="{7400101D-CF37-442B-9DD7-1CCB039256FC}">
      <text>
        <r>
          <rPr>
            <sz val="9"/>
            <color indexed="8"/>
            <rFont val="Tahoma"/>
            <charset val="1"/>
          </rPr>
          <t>Percentual de desconto do empregado sobre o auxílio alimentação (v. CCT).</t>
        </r>
      </text>
    </comment>
    <comment ref="AF71" authorId="1" shapeId="0" xr:uid="{ED3589BD-E6CB-4345-A5A0-B7B7D0452F16}">
      <text>
        <r>
          <rPr>
            <sz val="9"/>
            <color indexed="8"/>
            <rFont val="Tahoma"/>
            <charset val="1"/>
          </rPr>
          <t>Explicitar memória de cálculo.</t>
        </r>
      </text>
    </comment>
    <comment ref="AE72" authorId="1" shapeId="0" xr:uid="{024350E4-CC96-4D6D-85B1-4947935F15FA}">
      <text>
        <r>
          <rPr>
            <sz val="9"/>
            <color indexed="8"/>
            <rFont val="Tahoma"/>
            <charset val="1"/>
          </rPr>
          <t xml:space="preserve">No regime de trabalho 12 x 36, caso o empregado não usufrua o intervalo de repouso intrajornada (permanece trabalhando) marque um "X" nesta célula.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AF73" authorId="1" shapeId="0" xr:uid="{D58F4740-E188-4C1C-AC74-5E8C68FBCF66}">
      <text>
        <r>
          <rPr>
            <sz val="9"/>
            <color indexed="8"/>
            <rFont val="Tahoma"/>
            <charset val="1"/>
          </rPr>
          <t>Informar o valor para um empregado por mês, se for o caso, e explicitar a memória de cálculo.</t>
        </r>
      </text>
    </comment>
    <comment ref="AF74" authorId="1" shapeId="0" xr:uid="{E4032F04-8765-4E33-B8BB-CD606527AC8C}">
      <text>
        <r>
          <rPr>
            <sz val="9"/>
            <color indexed="8"/>
            <rFont val="Tahoma"/>
            <charset val="1"/>
          </rPr>
          <t>Informar o valor para um empregado por mês, se for o caso, e explicitar a memória de cálculo.</t>
        </r>
      </text>
    </comment>
    <comment ref="AD87" authorId="1" shapeId="0" xr:uid="{DFFBD9DB-D216-415F-ABC4-3D28CE859AA9}">
      <text>
        <r>
          <rPr>
            <sz val="9"/>
            <color indexed="8"/>
            <rFont val="Tahoma"/>
            <charset val="1"/>
          </rPr>
          <t>Percentual de dispensa sem justa causa com aviso prévio indenizado, durante a execução ou ao final do contrato. Ou seja, percentual estimado de empregados com previsão de pagamento de aviso prévio indenizado. OBS.: informação gerencial da empresa, observada a razoabilidade. Historicamente estimado em 5%.</t>
        </r>
      </text>
    </comment>
    <comment ref="AD90" authorId="1" shapeId="0" xr:uid="{767025B4-1B66-4811-8FE7-7E21BA907F87}">
      <text>
        <r>
          <rPr>
            <sz val="9"/>
            <color indexed="8"/>
            <rFont val="Tahoma"/>
            <charset val="1"/>
          </rPr>
          <t>Percentual de dispensa sem justa causa com aviso prévio trabalhado, durante a execução ou ao final do contrato. Ou seja, percentual estimado de empregados com previsão de pagamento de aviso prévio trabalhado. OBS.: informação gerencial da empresa, observada a razoabilidade. Historicamente estimado em 95%.</t>
        </r>
      </text>
    </comment>
    <comment ref="AD100" authorId="1" shapeId="0" xr:uid="{8B76F9CC-4502-4083-9D0B-638C89829E3A}">
      <text>
        <r>
          <rPr>
            <sz val="9"/>
            <color indexed="8"/>
            <rFont val="Tahoma"/>
            <charset val="1"/>
          </rPr>
          <t>Número médio de dias de ausências legais no período de um ano (pode ser estimativa com base no histórico de contratos anteriores).  
OBS.: informação gerencial da empresa, observada a razoabilidade. (estimativa: 2 dias)</t>
        </r>
      </text>
    </comment>
    <comment ref="AD101" authorId="1" shapeId="0" xr:uid="{6B1EAED1-6607-48D2-B4CD-FA9A42B150A0}">
      <text>
        <r>
          <rPr>
            <sz val="9"/>
            <color indexed="8"/>
            <rFont val="Tahoma"/>
            <charset val="1"/>
          </rPr>
          <t>Percentual médio de afastamento de licença-paternidade no período de um ano (pode ser estimativa com base no histórico de contratos anteriores).  
OBS.: informação gerencial da empresa, observada a razoabilidade. (Estimativa: 2 %)</t>
        </r>
      </text>
    </comment>
    <comment ref="AD102" authorId="1" shapeId="0" xr:uid="{FFA9EDAD-8AF6-4182-9A68-FB681B71C628}">
      <text>
        <r>
          <rPr>
            <sz val="9"/>
            <color indexed="8"/>
            <rFont val="Tahoma"/>
            <charset val="1"/>
          </rPr>
          <t>Percentual da incidência de ausência por acidente de trabalho no período de um ano (pode ser estimativa com base no histórico de contratos anteriores).  
OBS.: informação gerencial da empresa, observada a razoabilidade. (Estimativa 8 %)</t>
        </r>
      </text>
    </comment>
    <comment ref="AD103" authorId="1" shapeId="0" xr:uid="{11416FA4-10A4-4A10-AD41-23E1D0A37678}">
      <text>
        <r>
          <rPr>
            <sz val="9"/>
            <color indexed="8"/>
            <rFont val="Tahoma"/>
            <charset val="1"/>
          </rPr>
          <t>Percentual da incidência de afastamento maternidade no período de um ano (pode ser estimativa com base no histórico de contratos anteriores).  
OBS.: informação gerencial da empresa, observada a razoabilidade. (Estimativa 3 %)</t>
        </r>
      </text>
    </comment>
    <comment ref="S104" authorId="1" shapeId="0" xr:uid="{1277EC2B-45D1-49CD-9E1A-61D2EE946098}">
      <text>
        <r>
          <rPr>
            <sz val="9"/>
            <color indexed="8"/>
            <rFont val="Tahoma"/>
            <charset val="1"/>
          </rPr>
          <t>Explicitar, se for o caso, inclusive com memória de cálculo.</t>
        </r>
      </text>
    </comment>
    <comment ref="AD104" authorId="0" shapeId="0" xr:uid="{06FFFBD7-0B73-45EB-8930-CBF63CF9E2FF}">
      <text>
        <r>
          <rPr>
            <sz val="9"/>
            <color indexed="81"/>
            <rFont val="Segoe UI"/>
            <family val="2"/>
          </rPr>
          <t>Inserir Qtde.</t>
        </r>
      </text>
    </comment>
    <comment ref="AF104" authorId="1" shapeId="0" xr:uid="{AEAADDDB-E362-4548-8552-7303628C33CB}">
      <text>
        <r>
          <rPr>
            <sz val="9"/>
            <color indexed="8"/>
            <rFont val="Tahoma"/>
            <charset val="1"/>
          </rPr>
          <t>Informar o valor para um empregado por mês, se for o caso.</t>
        </r>
      </text>
    </comment>
    <comment ref="AE109" authorId="1" shapeId="0" xr:uid="{4C24888B-D5C1-46F8-8D59-2FC61DBFA821}">
      <text>
        <r>
          <rPr>
            <sz val="9"/>
            <color indexed="8"/>
            <rFont val="Tahoma"/>
            <charset val="1"/>
          </rPr>
          <t xml:space="preserve">No regime de trabalho 12 x 36, a ocorrência deste item está relacionada ao submódulo 2.3-D.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E120" authorId="0" shapeId="0" xr:uid="{69EE3D7C-5AD6-4967-AA64-B5733F47F3B5}">
      <text>
        <r>
          <rPr>
            <sz val="9"/>
            <color indexed="81"/>
            <rFont val="Segoe UI"/>
            <family val="2"/>
          </rPr>
          <t>- Considerar cálculo do item para um empregado por mês, se for o caso.
- Preenchimentos na aba "VI. Insumos Diversos" desta planilha.</t>
        </r>
      </text>
    </comment>
    <comment ref="AF120" authorId="1" shapeId="0" xr:uid="{9D0EF5E7-CC3E-4B1C-9A31-E5EF2B255B01}">
      <text>
        <r>
          <rPr>
            <sz val="9"/>
            <color indexed="8"/>
            <rFont val="Tahoma"/>
            <charset val="1"/>
          </rPr>
          <t>Valor para um empregado por mês, se for o caso.
- Preenchimentos na aba "VI. Insumos Diversos".</t>
        </r>
      </text>
    </comment>
    <comment ref="E121" authorId="0" shapeId="0" xr:uid="{C888E904-0EEB-4DD6-AA63-1E1B8921F911}">
      <text>
        <r>
          <rPr>
            <sz val="9"/>
            <color indexed="81"/>
            <rFont val="Segoe UI"/>
            <family val="2"/>
          </rPr>
          <t>- Considerar cálculo do item para um empregado por mês, se for o caso.
- Preenchimentos na aba "VI. Insumos Diversos" desta planilha.</t>
        </r>
      </text>
    </comment>
    <comment ref="AF121" authorId="1" shapeId="0" xr:uid="{7133A352-AD41-4233-8B21-4A2C31B0352A}">
      <text>
        <r>
          <rPr>
            <sz val="9"/>
            <color indexed="8"/>
            <rFont val="Tahoma"/>
            <charset val="1"/>
          </rPr>
          <t>Valor para um empregado por mês, se for o caso.
- Preenchimentos na aba "VI. Insumos Diversos".</t>
        </r>
      </text>
    </comment>
    <comment ref="E122" authorId="0" shapeId="0" xr:uid="{0B35D27C-E3D6-4844-A398-EECB5FD80A51}">
      <text>
        <r>
          <rPr>
            <sz val="9"/>
            <color indexed="81"/>
            <rFont val="Segoe UI"/>
            <family val="2"/>
          </rPr>
          <t>- Considerar cálculo do item para um empregado por mês, se for o caso.
- Preenchimentos na aba "VI. Insumos Diversos" desta planilha.</t>
        </r>
      </text>
    </comment>
    <comment ref="AF122" authorId="1" shapeId="0" xr:uid="{63FE6E7B-DE10-403F-A145-5B24950F8449}">
      <text>
        <r>
          <rPr>
            <sz val="9"/>
            <color indexed="8"/>
            <rFont val="Tahoma"/>
            <charset val="1"/>
          </rPr>
          <t>Valor para um empregado por mês, se for o caso.
- Preenchimentos na aba "VI. Insumos Diversos".</t>
        </r>
      </text>
    </comment>
    <comment ref="E123" authorId="0" shapeId="0" xr:uid="{E571065A-C404-4843-83FE-48250261A852}">
      <text>
        <r>
          <rPr>
            <sz val="9"/>
            <color indexed="81"/>
            <rFont val="Segoe UI"/>
            <family val="2"/>
          </rPr>
          <t>- Considerar cálculo do item para um empregado por mês, se for o caso.
- Preenchimentos na aba "VI. Insumos Diversos" desta planilha.</t>
        </r>
      </text>
    </comment>
    <comment ref="AF123" authorId="1" shapeId="0" xr:uid="{796852D7-9518-4273-9554-879803DE9E09}">
      <text>
        <r>
          <rPr>
            <sz val="9"/>
            <color indexed="8"/>
            <rFont val="Tahoma"/>
            <charset val="1"/>
          </rPr>
          <t>Valor para um empregado por mês, se for o caso.
- Preenchimentos na aba "VI. Insumos Diversos".</t>
        </r>
      </text>
    </comment>
    <comment ref="E124" authorId="0" shapeId="0" xr:uid="{75CF465B-A3AA-4635-B1E1-1EDF02D14E7F}">
      <text>
        <r>
          <rPr>
            <sz val="9"/>
            <color indexed="81"/>
            <rFont val="Segoe UI"/>
            <family val="2"/>
          </rPr>
          <t>- Considerar cálculo do item para um empregado por mês, se for o caso.
- Preenchimentos na aba "VI. Insumos Diversos" desta planilha.</t>
        </r>
      </text>
    </comment>
    <comment ref="AF124" authorId="1" shapeId="0" xr:uid="{FB870A80-6CEF-46B1-82DF-9CF83BC641DB}">
      <text>
        <r>
          <rPr>
            <sz val="9"/>
            <color indexed="8"/>
            <rFont val="Tahoma"/>
            <charset val="1"/>
          </rPr>
          <t>Valor para um empregado por mês, se for o caso.
- Preenchimentos na aba "VI. Insumos Diversos".</t>
        </r>
      </text>
    </comment>
    <comment ref="E125" authorId="0" shapeId="0" xr:uid="{A58DFD50-81FE-4088-89B3-60AA6A4165D5}">
      <text>
        <r>
          <rPr>
            <sz val="9"/>
            <color indexed="81"/>
            <rFont val="Segoe UI"/>
            <family val="2"/>
          </rPr>
          <t>- Considerar cálculo do item para um empregado por mês, se for o caso.
- Preenchimentos na aba "VI. Insumos Diversos" desta planilha.</t>
        </r>
      </text>
    </comment>
    <comment ref="AF125" authorId="1" shapeId="0" xr:uid="{3F8EB1A8-073E-464F-9E97-3EB7DD66116A}">
      <text>
        <r>
          <rPr>
            <sz val="9"/>
            <color indexed="8"/>
            <rFont val="Tahoma"/>
            <charset val="1"/>
          </rPr>
          <t>Valor para um empregado por mês, se for o caso.
- Preenchimentos na aba "VI. Insumos Diversos".</t>
        </r>
      </text>
    </comment>
    <comment ref="E126" authorId="0" shapeId="0" xr:uid="{F8A20048-8D4E-4B04-B5F3-983C5E85C9A3}">
      <text>
        <r>
          <rPr>
            <sz val="9"/>
            <color indexed="81"/>
            <rFont val="Segoe UI"/>
            <family val="2"/>
          </rPr>
          <t>- Considerar cálculo do item para um empregado por mês, se for o caso.
- Preenchimentos na aba "VI. Insumos Diversos" desta planilha.</t>
        </r>
      </text>
    </comment>
    <comment ref="AF126" authorId="1" shapeId="0" xr:uid="{E752409E-362B-4B73-A056-20DDE1CA7987}">
      <text>
        <r>
          <rPr>
            <sz val="9"/>
            <color indexed="8"/>
            <rFont val="Tahoma"/>
            <charset val="1"/>
          </rPr>
          <t>Valor para um empregado por mês, se for o caso.
- Preenchimentos na aba "VI. Insumos Diversos".</t>
        </r>
      </text>
    </comment>
    <comment ref="E127" authorId="0" shapeId="0" xr:uid="{91807410-4EDF-45BC-B895-C641E467B823}">
      <text>
        <r>
          <rPr>
            <sz val="9"/>
            <color indexed="81"/>
            <rFont val="Segoe UI"/>
            <family val="2"/>
          </rPr>
          <t>- Considerar cálculo do item para um empregado por mês, se for o caso.
- Preenchimentos na aba "VI. Insumos Diversos" desta planilha.</t>
        </r>
      </text>
    </comment>
    <comment ref="AF127" authorId="1" shapeId="0" xr:uid="{4D3F2A13-7603-4156-8DAC-03BECCC64387}">
      <text>
        <r>
          <rPr>
            <sz val="9"/>
            <color indexed="8"/>
            <rFont val="Tahoma"/>
            <charset val="1"/>
          </rPr>
          <t>Valor para um empregado por mês, se for o caso.
- Preenchimentos na aba "VI. Insumos Diversos".</t>
        </r>
      </text>
    </comment>
    <comment ref="E128" authorId="0" shapeId="0" xr:uid="{25B3FEE4-F222-4208-BF64-97CEFBBB54D4}">
      <text>
        <r>
          <rPr>
            <sz val="9"/>
            <color indexed="81"/>
            <rFont val="Segoe UI"/>
            <family val="2"/>
          </rPr>
          <t>- Considerar cálculo do item para um empregado por mês, se for o caso.
- Preenchimentos na aba "VI. Insumos Diversos" desta planilha.</t>
        </r>
      </text>
    </comment>
    <comment ref="AF128" authorId="1" shapeId="0" xr:uid="{6BB8FA14-4EB0-495D-BF82-9A8A5242CEDD}">
      <text>
        <r>
          <rPr>
            <sz val="9"/>
            <color indexed="8"/>
            <rFont val="Tahoma"/>
            <charset val="1"/>
          </rPr>
          <t>Valor para um empregado por mês, se for o caso.
- Preenchimentos na aba "VI. Insumos Diversos".</t>
        </r>
      </text>
    </comment>
    <comment ref="AF129" authorId="1" shapeId="0" xr:uid="{CDE7D62F-E9FE-4110-AEA0-9828D30B7267}">
      <text>
        <r>
          <rPr>
            <sz val="9"/>
            <color indexed="8"/>
            <rFont val="Tahoma"/>
            <charset val="1"/>
          </rPr>
          <t xml:space="preserve">Valor para um empregado por mês, se for o caso.
</t>
        </r>
      </text>
    </comment>
    <comment ref="AE135" authorId="1" shapeId="0" xr:uid="{BED8AB24-44A0-4D95-9376-7A92F1380AE9}">
      <text>
        <r>
          <rPr>
            <sz val="9"/>
            <color indexed="8"/>
            <rFont val="Tahoma"/>
            <charset val="1"/>
          </rPr>
          <t>Percentual a título de custos indiretos.
Historicamente: Máximo 10,79%</t>
        </r>
      </text>
    </comment>
    <comment ref="AE136" authorId="1" shapeId="0" xr:uid="{64E6B15D-D457-4744-B47E-FF0A7C86643E}">
      <text>
        <r>
          <rPr>
            <sz val="9"/>
            <color indexed="8"/>
            <rFont val="Tahoma"/>
            <charset val="1"/>
          </rPr>
          <t>Percentual a título de taxa de lucro.
Historicamente: máximo 10%</t>
        </r>
      </text>
    </comment>
    <comment ref="AD141" authorId="1" shapeId="0" xr:uid="{1E82436D-667E-48A9-A5F4-31E5899F3CBE}">
      <text>
        <r>
          <rPr>
            <sz val="9"/>
            <color indexed="8"/>
            <rFont val="Tahoma"/>
            <charset val="1"/>
          </rPr>
          <t>Caso a empresa seja beneficiária da desoneração da folha de pagamento, quando o INSS do submódulo 2.2-A é substituído pela CPRB - Contribuição Previdenciária sobre a Receita Bruta, é necessário informar a alíquota devida nesta célula.
Caso não seja informada, será atribuída a alíquota de 4,5%.</t>
        </r>
      </text>
    </comment>
    <comment ref="B176" authorId="1" shapeId="0" xr:uid="{7192FB53-3EED-44CC-9736-6098C4C9806B}">
      <text>
        <r>
          <rPr>
            <sz val="9"/>
            <color indexed="8"/>
            <rFont val="Tahoma"/>
            <charset val="1"/>
          </rPr>
          <t xml:space="preserve">Especificar a descrição do valor unitário que se pretende calcular.
Exemplos: 
Valor da Diária: (divisor: 30)
Valor da Hora: (divisor: jornada mensal)
</t>
        </r>
      </text>
    </comment>
    <comment ref="AE176" authorId="1" shapeId="0" xr:uid="{299DC663-C38A-4A29-ACAD-0304C54059EC}">
      <text>
        <r>
          <rPr>
            <sz val="9"/>
            <color indexed="8"/>
            <rFont val="Tahoma"/>
            <charset val="1"/>
          </rPr>
          <t>Informar o divisor para apurar o valor unitário pela unidade indicada, se necessário.
Exemplos: 
Valor da Diária: (divisor: 30)
Valor da Hora: (divisor: jornada mensal)</t>
        </r>
      </text>
    </comment>
    <comment ref="B177" authorId="1" shapeId="0" xr:uid="{FF61C55D-9D0E-4C27-8240-B1D7314973A7}">
      <text>
        <r>
          <rPr>
            <sz val="9"/>
            <color indexed="8"/>
            <rFont val="Tahoma"/>
            <charset val="1"/>
          </rPr>
          <t>Especificar a descrição do valor unitário que se pretende calcular.
Exemplos: 
Valor da Diária: (divisor: 30)
Valor da Hora: (divisor: jornada mensal)</t>
        </r>
      </text>
    </comment>
    <comment ref="AE177" authorId="1" shapeId="0" xr:uid="{77AB7B5F-5AD4-4720-87B9-AC130665BB62}">
      <text>
        <r>
          <rPr>
            <sz val="9"/>
            <color indexed="8"/>
            <rFont val="Tahoma"/>
            <charset val="1"/>
          </rPr>
          <t>Informar o divisor para apurar o valor unitário pela unidade indicada, se necessário.
Exemplos: 
Valor da Diária: (divisor: 30)
Valor da Hora: (divisor: jornada mensal)</t>
        </r>
      </text>
    </comment>
    <comment ref="AD180" authorId="1" shapeId="0" xr:uid="{83AB1F44-F800-45EB-A9F5-700C07788E32}">
      <text>
        <r>
          <rPr>
            <b/>
            <sz val="9"/>
            <color indexed="8"/>
            <rFont val="Tahoma"/>
            <family val="2"/>
          </rPr>
          <t>Informe o regime tributário da empresa na célular "J4", digitando o número</t>
        </r>
        <r>
          <rPr>
            <sz val="9"/>
            <color indexed="8"/>
            <rFont val="Tahoma"/>
            <charset val="1"/>
          </rPr>
          <t>:
1 - para empresa optante pelo SIMPLES NACIONAL; 
2 - para empresa submetida ao regime de Lucro Real; ou 
3 - para empresa submetida ao regime de Lucro Presumido.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Thiago Crystian Matozo</author>
    <author xml:space="preserve"> </author>
  </authors>
  <commentList>
    <comment ref="J5" authorId="0" shapeId="0" xr:uid="{AC72F879-E22A-4D73-948C-60B71F20E22E}">
      <text>
        <r>
          <rPr>
            <sz val="9"/>
            <color indexed="81"/>
            <rFont val="Segoe UI"/>
            <family val="2"/>
          </rPr>
          <t>Inserir o nome da empresa proponente.</t>
        </r>
      </text>
    </comment>
    <comment ref="AE5" authorId="0" shapeId="0" xr:uid="{D17EB2D9-AA45-496C-91D2-5EA12388B248}">
      <text>
        <r>
          <rPr>
            <sz val="9"/>
            <color indexed="81"/>
            <rFont val="Segoe UI"/>
            <family val="2"/>
          </rPr>
          <t>Inserir o CNPJ da empresa proponente.</t>
        </r>
      </text>
    </comment>
    <comment ref="J7" authorId="1" shapeId="0" xr:uid="{54293965-BECB-4840-8177-8B86EE9B979C}">
      <text>
        <r>
          <rPr>
            <sz val="9"/>
            <color indexed="8"/>
            <rFont val="Tahoma"/>
            <charset val="1"/>
          </rPr>
          <t>Digite o número:
1 - para empresa optante pelo SIMPLES NACIONAL; 
2 - para empresa submetida ao regime de Lucro Real; ou 
3 - para empresa submetida ao regime de Lucro Presumido.</t>
        </r>
      </text>
    </comment>
    <comment ref="AE12" authorId="1" shapeId="0" xr:uid="{A85063A5-52EB-4AFB-ABAC-3F5EA203738C}">
      <text>
        <r>
          <rPr>
            <sz val="9"/>
            <color indexed="8"/>
            <rFont val="Tahoma"/>
            <charset val="1"/>
          </rPr>
          <t xml:space="preserve">Local da prestação dos serviços
</t>
        </r>
      </text>
    </comment>
    <comment ref="AE13" authorId="0" shapeId="0" xr:uid="{6CBA018F-BC8D-4481-8434-A9C123B8A451}">
      <text>
        <r>
          <rPr>
            <sz val="9"/>
            <color indexed="81"/>
            <rFont val="Segoe UI"/>
            <family val="2"/>
          </rPr>
          <t>Arquivo "CCT Vigilantes" na íntegra consta na aba "VIII" desta planilha.</t>
        </r>
      </text>
    </comment>
    <comment ref="AE14" authorId="1" shapeId="0" xr:uid="{163C6EED-80A5-4526-A3BC-AAB739FF6CD7}">
      <text>
        <r>
          <rPr>
            <sz val="9"/>
            <color indexed="8"/>
            <rFont val="Tahoma"/>
            <charset val="1"/>
          </rPr>
          <t>Número de meses previstos inicialmente para a execução do contrato.</t>
        </r>
      </text>
    </comment>
    <comment ref="B18" authorId="1" shapeId="0" xr:uid="{50D0341A-C78A-4392-9A18-0C0C80FFC604}">
      <text>
        <r>
          <rPr>
            <sz val="9"/>
            <color indexed="8"/>
            <rFont val="Tahoma"/>
            <charset val="1"/>
          </rPr>
          <t>Descrição suscinta do serviço conforme o Termo de Referência.</t>
        </r>
      </text>
    </comment>
    <comment ref="AE18" authorId="1" shapeId="0" xr:uid="{38F008D9-51BD-4049-BF7E-C0C08E76245D}">
      <text>
        <r>
          <rPr>
            <sz val="9"/>
            <color indexed="8"/>
            <rFont val="Tahoma"/>
            <charset val="1"/>
          </rPr>
          <t>Número de trabalhadores por posto de trabalho:
- Normalmente, na jornada de 12x36h, são 2 (dois) empregados em sistema de revezamento.</t>
        </r>
      </text>
    </comment>
    <comment ref="AE19" authorId="1" shapeId="0" xr:uid="{06403395-FD77-4877-8A8B-DE91A0C5F9A2}">
      <text>
        <r>
          <rPr>
            <sz val="9"/>
            <color indexed="8"/>
            <rFont val="Tahoma"/>
            <charset val="1"/>
          </rPr>
          <t>Número de postos de trabalho a contratar.</t>
        </r>
      </text>
    </comment>
    <comment ref="AE20" authorId="1" shapeId="0" xr:uid="{3F4CF1B9-600B-4FF1-8F13-CE7AC58D27CB}">
      <text>
        <r>
          <rPr>
            <sz val="9"/>
            <color indexed="8"/>
            <rFont val="Tahoma"/>
            <charset val="1"/>
          </rPr>
          <t>Número de postos de trabalho a contratar.</t>
        </r>
      </text>
    </comment>
    <comment ref="AE21" authorId="1" shapeId="0" xr:uid="{CFD11FAF-6567-434E-B5D3-A7CAE20EB650}">
      <text>
        <r>
          <rPr>
            <sz val="9"/>
            <color indexed="8"/>
            <rFont val="Tahoma"/>
            <charset val="1"/>
          </rPr>
          <t xml:space="preserve">Se for Jornada de Trabalho 12 x 36 marque um "X"
Caso contrário, deixe vazia esta célula.
</t>
        </r>
      </text>
    </comment>
    <comment ref="AE27" authorId="1" shapeId="0" xr:uid="{AF1B24F5-3254-4CF1-8F3B-2A77F762CEBC}">
      <text>
        <r>
          <rPr>
            <sz val="9"/>
            <color indexed="8"/>
            <rFont val="Tahoma"/>
            <charset val="1"/>
          </rPr>
          <t>Ex. de CBO: 
Servente (5142-10); 
garçom (5134-05); 
vigilante (5173-30);
bombeiro (7142-10).</t>
        </r>
      </text>
    </comment>
    <comment ref="AE28" authorId="1" shapeId="0" xr:uid="{8AF68DC7-D9E5-457F-A253-08D62C86943D}">
      <text>
        <r>
          <rPr>
            <sz val="9"/>
            <color indexed="8"/>
            <rFont val="Tahoma"/>
            <charset val="1"/>
          </rPr>
          <t>Salário conforme previsto na CCT para a categoria funcional envolvida na prestação do serviço.</t>
        </r>
      </text>
    </comment>
    <comment ref="AG28" authorId="0" shapeId="0" xr:uid="{7EC144C7-E53D-43FC-91A8-50C159963811}">
      <text>
        <r>
          <rPr>
            <sz val="9"/>
            <color indexed="81"/>
            <rFont val="Segoe UI"/>
            <family val="2"/>
          </rPr>
          <t>Arquivo "CCT Vigilantes" na íntegra consta na aba "VIII" desta planilha.</t>
        </r>
      </text>
    </comment>
    <comment ref="AE29" authorId="1" shapeId="0" xr:uid="{EFB1169C-9E4C-44A9-B79F-A02FE4674C1B}">
      <text>
        <r>
          <rPr>
            <sz val="9"/>
            <color indexed="8"/>
            <rFont val="Tahoma"/>
            <charset val="1"/>
          </rPr>
          <t>Categoria funcional envolvida na prestação do serviço.
Ex.: Vigilante; ASG; Recepcionista...</t>
        </r>
      </text>
    </comment>
    <comment ref="AE30" authorId="1" shapeId="0" xr:uid="{25B98BAA-2967-458D-B7BC-7943E96B399D}">
      <text>
        <r>
          <rPr>
            <sz val="9"/>
            <color indexed="8"/>
            <rFont val="Tahoma"/>
            <charset val="1"/>
          </rPr>
          <t>Data de início de vigência da CCT (Data-base)</t>
        </r>
      </text>
    </comment>
    <comment ref="AE31" authorId="1" shapeId="0" xr:uid="{25B5A5C4-8460-43B8-B949-F458B42C770D}">
      <text>
        <r>
          <rPr>
            <sz val="9"/>
            <color indexed="8"/>
            <rFont val="Tahoma"/>
            <charset val="1"/>
          </rPr>
          <t>Salário mínimo vigente.</t>
        </r>
      </text>
    </comment>
    <comment ref="AF36" authorId="1" shapeId="0" xr:uid="{DB2FAF4E-07A3-4873-83D6-7F51AF881FA5}">
      <text>
        <r>
          <rPr>
            <sz val="9"/>
            <color indexed="8"/>
            <rFont val="Tahoma"/>
            <charset val="1"/>
          </rPr>
          <t>Salário proposto pela contratada. Não pode ser inferior ao salário normativo da categoria previsto na CCT.</t>
        </r>
      </text>
    </comment>
    <comment ref="AE37" authorId="1" shapeId="0" xr:uid="{8C548CB0-F8B5-4C34-A3C9-1637644AE363}">
      <text>
        <r>
          <rPr>
            <sz val="9"/>
            <color indexed="8"/>
            <rFont val="Tahoma"/>
            <charset val="1"/>
          </rPr>
          <t>O percentual é aplicado sobre o salário base.</t>
        </r>
      </text>
    </comment>
    <comment ref="AD38" authorId="1" shapeId="0" xr:uid="{6C231AFE-2F1E-457C-9779-7D91F566B869}">
      <text>
        <r>
          <rPr>
            <sz val="9"/>
            <color indexed="8"/>
            <rFont val="Tahoma"/>
            <charset val="1"/>
          </rPr>
          <t xml:space="preserve">Deixando esta célula vazia, o percentual será aplicado sobre o salário mínimo vigente no local da prestação dos serviços.
Para incidir sobre o salário base, caso previsto na CCT, marque esta célula com um "X". </t>
        </r>
      </text>
    </comment>
    <comment ref="AE38" authorId="1" shapeId="0" xr:uid="{A889B984-406D-48E4-B66A-B360957A74A7}">
      <text>
        <r>
          <rPr>
            <sz val="9"/>
            <color indexed="8"/>
            <rFont val="Tahoma"/>
            <charset val="1"/>
          </rPr>
          <t>O percentual é aplicado sobre o salário mínimo vigente no local da prestação dos serviços, salvo se a CCT dispuser de modo diverso.
(mínimo: 10%; médio: 20%; ou máximo: 40%)</t>
        </r>
      </text>
    </comment>
    <comment ref="AD39" authorId="1" shapeId="0" xr:uid="{5E701737-D3DE-4A25-9B83-59E074618D11}">
      <text>
        <r>
          <rPr>
            <sz val="9"/>
            <color indexed="8"/>
            <rFont val="Tahoma"/>
            <charset val="1"/>
          </rPr>
          <t xml:space="preserve">Caso não haja incidência de adicional noturno, deixe esta célula vazia!
Do contrário, informe o percentual que, ordinariamente, é de </t>
        </r>
        <r>
          <rPr>
            <b/>
            <sz val="9"/>
            <color indexed="8"/>
            <rFont val="Tahoma"/>
            <family val="2"/>
          </rPr>
          <t>20%</t>
        </r>
        <r>
          <rPr>
            <sz val="9"/>
            <color indexed="8"/>
            <rFont val="Tahoma"/>
            <charset val="1"/>
          </rPr>
          <t>, podendo ser de até 50%, se assim definido na CCT.
Hora Reduzida: 1h = 52'30"</t>
        </r>
      </text>
    </comment>
    <comment ref="AD40" authorId="1" shapeId="0" xr:uid="{4561925C-589B-4EA4-8C94-61CB7B319EDF}">
      <text>
        <r>
          <rPr>
            <sz val="9"/>
            <color indexed="8"/>
            <rFont val="Tahoma"/>
            <charset val="1"/>
          </rPr>
          <t>Hora Reduzida: 1h = 52'30"</t>
        </r>
      </text>
    </comment>
    <comment ref="L41" authorId="1" shapeId="0" xr:uid="{A32D1C33-ECFE-4C35-B632-F409CE42EEDC}">
      <text>
        <r>
          <rPr>
            <sz val="9"/>
            <color indexed="8"/>
            <rFont val="Tahoma"/>
            <charset val="1"/>
          </rPr>
          <t>Especifirar o eventual custo e explicitar a memória de cálculo e fundamento legal.</t>
        </r>
      </text>
    </comment>
    <comment ref="AE41" authorId="1" shapeId="0" xr:uid="{FB2A3383-1290-49D4-8955-C41D9BBB1FE9}">
      <text>
        <r>
          <rPr>
            <sz val="9"/>
            <color indexed="8"/>
            <rFont val="Tahoma"/>
            <charset val="1"/>
          </rPr>
          <t>O percentual é aplicado sobre o salário base.</t>
        </r>
      </text>
    </comment>
    <comment ref="AD54" authorId="1" shapeId="0" xr:uid="{8F1947D3-08E1-4CF4-8065-29E579677B10}">
      <text>
        <r>
          <rPr>
            <sz val="9"/>
            <color indexed="8"/>
            <rFont val="Tahoma"/>
            <charset val="1"/>
          </rPr>
          <t xml:space="preserve">Caso a Empresa seja beneficiária da </t>
        </r>
        <r>
          <rPr>
            <b/>
            <sz val="9"/>
            <color indexed="8"/>
            <rFont val="Tahoma"/>
            <family val="2"/>
          </rPr>
          <t>Desoneração da Folha - INSS substituído pela CPRB - Lei 13.670/2018</t>
        </r>
        <r>
          <rPr>
            <sz val="9"/>
            <color indexed="8"/>
            <rFont val="Tahoma"/>
            <charset val="1"/>
          </rPr>
          <t>, marque esta célula com um "X". 
Caso contrário, deixe-a vazia.</t>
        </r>
      </text>
    </comment>
    <comment ref="AE56" authorId="1" shapeId="0" xr:uid="{1F89A7B6-F115-4D10-961F-F00F96F8362C}">
      <text>
        <r>
          <rPr>
            <sz val="9"/>
            <color indexed="8"/>
            <rFont val="Tahoma"/>
            <charset val="1"/>
          </rPr>
          <t>Informar o percentual do RAT AJUSTADO (RAT X FAP), conforme o índice constante na GFIP.</t>
        </r>
      </text>
    </comment>
    <comment ref="L62" authorId="1" shapeId="0" xr:uid="{B7062153-E7E1-4781-8CC0-3D06DF76A796}">
      <text>
        <r>
          <rPr>
            <sz val="9"/>
            <color indexed="8"/>
            <rFont val="Tahoma"/>
            <charset val="1"/>
          </rPr>
          <t>Especifirar o eventual custo e explicitar a memória de cálculo e fundamento legal.</t>
        </r>
      </text>
    </comment>
    <comment ref="E67" authorId="0" shapeId="0" xr:uid="{ADB50AE9-F578-457E-9F81-7C9D63B8ADB6}">
      <text>
        <r>
          <rPr>
            <b/>
            <sz val="9"/>
            <color indexed="81"/>
            <rFont val="Segoe UI"/>
            <family val="2"/>
          </rPr>
          <t xml:space="preserve">ATENÇÃO:
- No Município de Paranaguá/PR possui o programa "TARIFA ZERO" (Lei Complementar 269/2021 de Paranaguá PR): </t>
        </r>
        <r>
          <rPr>
            <sz val="9"/>
            <color indexed="81"/>
            <rFont val="Segoe UI"/>
            <family val="2"/>
          </rPr>
          <t xml:space="preserve">garante que o transporte público seja gratuito para o usuário. No entanto, a lei que instituiu o programa não desonera a empresa de sua obrigação de fornecer o vale-transporte aos funcionários que utilizam o sistema de transporte coletivo urbano.
</t>
        </r>
        <r>
          <rPr>
            <b/>
            <sz val="9"/>
            <color indexed="81"/>
            <rFont val="Segoe UI"/>
            <family val="2"/>
          </rPr>
          <t xml:space="preserve">Cálculo do custo por funcionário:
- Valor integral pago pela empresa = R$ 58,00 </t>
        </r>
        <r>
          <rPr>
            <sz val="9"/>
            <color indexed="81"/>
            <rFont val="Segoe UI"/>
            <family val="2"/>
          </rPr>
          <t xml:space="preserve">(esse valor deve ser inserido no sistema pela empresa para a compra do passe do funcionário). 
</t>
        </r>
        <r>
          <rPr>
            <b/>
            <sz val="9"/>
            <color indexed="81"/>
            <rFont val="Segoe UI"/>
            <family val="2"/>
          </rPr>
          <t xml:space="preserve">- Desconto máximo do salário do funcionário = </t>
        </r>
        <r>
          <rPr>
            <sz val="9"/>
            <color indexed="81"/>
            <rFont val="Segoe UI"/>
            <family val="2"/>
          </rPr>
          <t>Até 6% do salário-base do funcionário. O valor exato do desconto é a parte do salário que corresponde a até 6% do valor total do transporte, conforme a lei.</t>
        </r>
      </text>
    </comment>
    <comment ref="AE67" authorId="1" shapeId="0" xr:uid="{5C27F8E7-A732-4E44-A436-F612AE4FD67C}">
      <text>
        <r>
          <rPr>
            <sz val="9"/>
            <color indexed="8"/>
            <rFont val="Tahoma"/>
            <charset val="1"/>
          </rPr>
          <t>Número de vales transportes a serem fornecidos por mês a cada empregado da categoria.</t>
        </r>
      </text>
    </comment>
    <comment ref="AG67" authorId="0" shapeId="0" xr:uid="{99B8F95B-8F11-4CBB-92FF-FD02767A0EF1}">
      <text>
        <r>
          <rPr>
            <sz val="9"/>
            <color indexed="81"/>
            <rFont val="Segoe UI"/>
            <family val="2"/>
          </rPr>
          <t>Arquivo "CCT Vigilantes" na íntegra consta na aba "VIII" desta planilha.</t>
        </r>
      </text>
    </comment>
    <comment ref="AE68" authorId="1" shapeId="0" xr:uid="{4DB13AAE-A2F8-4FD3-BD95-1514312713C7}">
      <text>
        <r>
          <rPr>
            <sz val="9"/>
            <color indexed="8"/>
            <rFont val="Tahoma"/>
            <charset val="1"/>
          </rPr>
          <t>Valor unitário do vale transporte (R$).</t>
        </r>
      </text>
    </comment>
    <comment ref="AE69" authorId="1" shapeId="0" xr:uid="{A9AB0C1B-9257-4FE1-9EB7-FB1E95B70D3F}">
      <text>
        <r>
          <rPr>
            <sz val="9"/>
            <color indexed="8"/>
            <rFont val="Tahoma"/>
            <charset val="1"/>
          </rPr>
          <t>Valor mensal de auxílio alimentação por empregado da categoria (CCT)</t>
        </r>
      </text>
    </comment>
    <comment ref="AE70" authorId="1" shapeId="0" xr:uid="{235710F7-2107-4C66-ACFD-E414F153E291}">
      <text>
        <r>
          <rPr>
            <sz val="9"/>
            <color indexed="8"/>
            <rFont val="Tahoma"/>
            <charset val="1"/>
          </rPr>
          <t>Percentual de desconto do empregado sobre o auxílio alimentação (v. CCT).</t>
        </r>
      </text>
    </comment>
    <comment ref="AF71" authorId="1" shapeId="0" xr:uid="{CC8DA728-D5E4-4C4D-B4E3-8BC93EA115B5}">
      <text>
        <r>
          <rPr>
            <sz val="9"/>
            <color indexed="8"/>
            <rFont val="Tahoma"/>
            <charset val="1"/>
          </rPr>
          <t>Explicitar memória de cálculo.</t>
        </r>
      </text>
    </comment>
    <comment ref="AE72" authorId="1" shapeId="0" xr:uid="{F0D09873-DA08-4DDF-96D8-B6D31F1BB129}">
      <text>
        <r>
          <rPr>
            <sz val="9"/>
            <color indexed="8"/>
            <rFont val="Tahoma"/>
            <charset val="1"/>
          </rPr>
          <t xml:space="preserve">No regime de trabalho 12 x 36, caso o empregado não usufrua o intervalo de repouso intrajornada (permanece trabalhando) marque um "X" nesta célula.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AF73" authorId="1" shapeId="0" xr:uid="{6A06B869-0A0C-48D1-B396-D639FA86AE81}">
      <text>
        <r>
          <rPr>
            <sz val="9"/>
            <color indexed="8"/>
            <rFont val="Tahoma"/>
            <charset val="1"/>
          </rPr>
          <t>Informar o valor para um empregado por mês, se for o caso, e explicitar a memória de cálculo.</t>
        </r>
      </text>
    </comment>
    <comment ref="AF74" authorId="1" shapeId="0" xr:uid="{D194B812-0E61-4E53-805F-3ACB0731BDAC}">
      <text>
        <r>
          <rPr>
            <sz val="9"/>
            <color indexed="8"/>
            <rFont val="Tahoma"/>
            <charset val="1"/>
          </rPr>
          <t>Informar o valor para um empregado por mês, se for o caso, e explicitar a memória de cálculo.</t>
        </r>
      </text>
    </comment>
    <comment ref="AD87" authorId="1" shapeId="0" xr:uid="{1B3E2EB5-B0F9-4715-ACD8-E47F4D6152FB}">
      <text>
        <r>
          <rPr>
            <sz val="9"/>
            <color indexed="8"/>
            <rFont val="Tahoma"/>
            <charset val="1"/>
          </rPr>
          <t>Percentual de dispensa sem justa causa com aviso prévio indenizado, durante a execução ou ao final do contrato. Ou seja, percentual estimado de empregados com previsão de pagamento de aviso prévio indenizado. OBS.: informação gerencial da empresa, observada a razoabilidade. Historicamente estimado em 5%.</t>
        </r>
      </text>
    </comment>
    <comment ref="AD90" authorId="1" shapeId="0" xr:uid="{55BDF693-BCB4-4BD9-8DA1-6A95164880C7}">
      <text>
        <r>
          <rPr>
            <sz val="9"/>
            <color indexed="8"/>
            <rFont val="Tahoma"/>
            <charset val="1"/>
          </rPr>
          <t>Percentual de dispensa sem justa causa com aviso prévio trabalhado, durante a execução ou ao final do contrato. Ou seja, percentual estimado de empregados com previsão de pagamento de aviso prévio trabalhado. OBS.: informação gerencial da empresa, observada a razoabilidade. Historicamente estimado em 95%.</t>
        </r>
      </text>
    </comment>
    <comment ref="AD100" authorId="1" shapeId="0" xr:uid="{006AACA9-B756-46BF-AA06-05C673F86FBB}">
      <text>
        <r>
          <rPr>
            <sz val="9"/>
            <color indexed="8"/>
            <rFont val="Tahoma"/>
            <charset val="1"/>
          </rPr>
          <t>Número médio de dias de ausências legais no período de um ano (pode ser estimativa com base no histórico de contratos anteriores).  
OBS.: informação gerencial da empresa, observada a razoabilidade. (estimativa: 2 dias)</t>
        </r>
      </text>
    </comment>
    <comment ref="AD101" authorId="1" shapeId="0" xr:uid="{396FC67C-CD6F-4FF2-A49E-E33F7CA19738}">
      <text>
        <r>
          <rPr>
            <sz val="9"/>
            <color indexed="8"/>
            <rFont val="Tahoma"/>
            <charset val="1"/>
          </rPr>
          <t>Percentual médio de afastamento de licença-paternidade no período de um ano (pode ser estimativa com base no histórico de contratos anteriores).  
OBS.: informação gerencial da empresa, observada a razoabilidade. (Estimativa: 2 %)</t>
        </r>
      </text>
    </comment>
    <comment ref="AD102" authorId="1" shapeId="0" xr:uid="{03B1AF2C-A592-42F5-A501-BDB465D25970}">
      <text>
        <r>
          <rPr>
            <sz val="9"/>
            <color indexed="8"/>
            <rFont val="Tahoma"/>
            <charset val="1"/>
          </rPr>
          <t>Percentual da incidência de ausência por acidente de trabalho no período de um ano (pode ser estimativa com base no histórico de contratos anteriores).  
OBS.: informação gerencial da empresa, observada a razoabilidade. (Estimativa 8 %)</t>
        </r>
      </text>
    </comment>
    <comment ref="AD103" authorId="1" shapeId="0" xr:uid="{14B767DD-0D02-4A38-840E-C49158F93EBF}">
      <text>
        <r>
          <rPr>
            <sz val="9"/>
            <color indexed="8"/>
            <rFont val="Tahoma"/>
            <charset val="1"/>
          </rPr>
          <t>Percentual da incidência de afastamento maternidade no período de um ano (pode ser estimativa com base no histórico de contratos anteriores).  
OBS.: informação gerencial da empresa, observada a razoabilidade. (Estimativa 3 %)</t>
        </r>
      </text>
    </comment>
    <comment ref="S104" authorId="1" shapeId="0" xr:uid="{A58EC82E-0286-4719-989C-4B502F572245}">
      <text>
        <r>
          <rPr>
            <sz val="9"/>
            <color indexed="8"/>
            <rFont val="Tahoma"/>
            <charset val="1"/>
          </rPr>
          <t>Explicitar, se for o caso, inclusive com memória de cálculo.</t>
        </r>
      </text>
    </comment>
    <comment ref="AD104" authorId="0" shapeId="0" xr:uid="{611D62FB-798E-44D7-A0D8-C4CDB42C3E18}">
      <text>
        <r>
          <rPr>
            <sz val="9"/>
            <color indexed="81"/>
            <rFont val="Segoe UI"/>
            <family val="2"/>
          </rPr>
          <t>Inserir Qtde.</t>
        </r>
      </text>
    </comment>
    <comment ref="AF104" authorId="1" shapeId="0" xr:uid="{FA9F7666-FFA1-47F8-8FFB-5FEA056F1BB6}">
      <text>
        <r>
          <rPr>
            <sz val="9"/>
            <color indexed="8"/>
            <rFont val="Tahoma"/>
            <charset val="1"/>
          </rPr>
          <t>Informar o valor para um empregado por mês, se for o caso.</t>
        </r>
      </text>
    </comment>
    <comment ref="AE109" authorId="1" shapeId="0" xr:uid="{0FD9B394-7E3C-422C-9FB6-031E6E82447B}">
      <text>
        <r>
          <rPr>
            <sz val="9"/>
            <color indexed="8"/>
            <rFont val="Tahoma"/>
            <charset val="1"/>
          </rPr>
          <t xml:space="preserve">No regime de trabalho 12 x 36, a ocorrência deste item está relacionada ao submódulo 2.3-D.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E120" authorId="0" shapeId="0" xr:uid="{CA12D812-92B1-4B09-AB65-0274BFE0A496}">
      <text>
        <r>
          <rPr>
            <sz val="9"/>
            <color indexed="81"/>
            <rFont val="Segoe UI"/>
            <family val="2"/>
          </rPr>
          <t>- Considerar cálculo do item para um empregado por mês, se for o caso.
- Preenchimentos na aba "VI. Insumos Diversos" desta planilha.</t>
        </r>
      </text>
    </comment>
    <comment ref="AF120" authorId="1" shapeId="0" xr:uid="{A58955E8-3BF9-4DC1-9911-986922F093B2}">
      <text>
        <r>
          <rPr>
            <sz val="9"/>
            <color indexed="8"/>
            <rFont val="Tahoma"/>
            <charset val="1"/>
          </rPr>
          <t>Valor para um empregado por mês, se for o caso.
- Preenchimentos na aba "VI. Insumos Diversos".</t>
        </r>
      </text>
    </comment>
    <comment ref="E121" authorId="0" shapeId="0" xr:uid="{2E87F8EF-BC73-4E29-AAD7-10535C92222B}">
      <text>
        <r>
          <rPr>
            <sz val="9"/>
            <color indexed="81"/>
            <rFont val="Segoe UI"/>
            <family val="2"/>
          </rPr>
          <t>- Considerar cálculo do item para um empregado por mês, se for o caso.
- Preenchimentos na aba "VI. Insumos Diversos" desta planilha.</t>
        </r>
      </text>
    </comment>
    <comment ref="AF121" authorId="1" shapeId="0" xr:uid="{12AB6665-FDF2-4F54-B98B-C5652BD34292}">
      <text>
        <r>
          <rPr>
            <sz val="9"/>
            <color indexed="8"/>
            <rFont val="Tahoma"/>
            <charset val="1"/>
          </rPr>
          <t>Valor para um empregado por mês, se for o caso.
- Preenchimentos na aba "VI. Insumos Diversos".</t>
        </r>
      </text>
    </comment>
    <comment ref="E122" authorId="0" shapeId="0" xr:uid="{042BF909-DEA3-46FD-9780-8853AB910E29}">
      <text>
        <r>
          <rPr>
            <sz val="9"/>
            <color indexed="81"/>
            <rFont val="Segoe UI"/>
            <family val="2"/>
          </rPr>
          <t>- Considerar cálculo do item para um empregado por mês, se for o caso.
- Preenchimentos na aba "VI. Insumos Diversos" desta planilha.</t>
        </r>
      </text>
    </comment>
    <comment ref="AF122" authorId="1" shapeId="0" xr:uid="{F2FA54EE-372E-4ED7-A8FE-1AE83B9252C5}">
      <text>
        <r>
          <rPr>
            <sz val="9"/>
            <color indexed="8"/>
            <rFont val="Tahoma"/>
            <charset val="1"/>
          </rPr>
          <t>Valor para um empregado por mês, se for o caso.
- Preenchimentos na aba "VI. Insumos Diversos".</t>
        </r>
      </text>
    </comment>
    <comment ref="E123" authorId="0" shapeId="0" xr:uid="{D03EA059-D326-443D-9DA3-F7104366E066}">
      <text>
        <r>
          <rPr>
            <sz val="9"/>
            <color indexed="81"/>
            <rFont val="Segoe UI"/>
            <family val="2"/>
          </rPr>
          <t>- Considerar cálculo do item para um empregado por mês, se for o caso.
- Preenchimentos na aba "VI. Insumos Diversos" desta planilha.</t>
        </r>
      </text>
    </comment>
    <comment ref="AF123" authorId="1" shapeId="0" xr:uid="{75597050-449A-4CF5-8F1C-A8F73914EF81}">
      <text>
        <r>
          <rPr>
            <sz val="9"/>
            <color indexed="8"/>
            <rFont val="Tahoma"/>
            <charset val="1"/>
          </rPr>
          <t>Valor para um empregado por mês, se for o caso.
- Preenchimentos na aba "VI. Insumos Diversos".</t>
        </r>
      </text>
    </comment>
    <comment ref="E124" authorId="0" shapeId="0" xr:uid="{EDC89750-B445-4345-B0DD-D5C2E638DE27}">
      <text>
        <r>
          <rPr>
            <sz val="9"/>
            <color indexed="81"/>
            <rFont val="Segoe UI"/>
            <family val="2"/>
          </rPr>
          <t>- Considerar cálculo do item para um empregado por mês, se for o caso.
- Preenchimentos na aba "VI. Insumos Diversos" desta planilha.</t>
        </r>
      </text>
    </comment>
    <comment ref="AF124" authorId="1" shapeId="0" xr:uid="{B090A2F1-7A35-4D7A-ADE2-75627E6CB113}">
      <text>
        <r>
          <rPr>
            <sz val="9"/>
            <color indexed="8"/>
            <rFont val="Tahoma"/>
            <charset val="1"/>
          </rPr>
          <t>Valor para um empregado por mês, se for o caso.
- Preenchimentos na aba "VI. Insumos Diversos".</t>
        </r>
      </text>
    </comment>
    <comment ref="E125" authorId="0" shapeId="0" xr:uid="{7B9038EF-6476-4013-B851-DC384E8F9209}">
      <text>
        <r>
          <rPr>
            <sz val="9"/>
            <color indexed="81"/>
            <rFont val="Segoe UI"/>
            <family val="2"/>
          </rPr>
          <t>- Considerar cálculo do item para um empregado por mês, se for o caso.
- Preenchimentos na aba "VI. Insumos Diversos" desta planilha.</t>
        </r>
      </text>
    </comment>
    <comment ref="AF125" authorId="1" shapeId="0" xr:uid="{ACCF677F-AE65-4A10-AA23-1AC398469C61}">
      <text>
        <r>
          <rPr>
            <sz val="9"/>
            <color indexed="8"/>
            <rFont val="Tahoma"/>
            <charset val="1"/>
          </rPr>
          <t>Valor para um empregado por mês, se for o caso.
- Preenchimentos na aba "VI. Insumos Diversos".</t>
        </r>
      </text>
    </comment>
    <comment ref="E126" authorId="0" shapeId="0" xr:uid="{8F1E5E46-61B6-455B-AE0E-442A0E8A695E}">
      <text>
        <r>
          <rPr>
            <sz val="9"/>
            <color indexed="81"/>
            <rFont val="Segoe UI"/>
            <family val="2"/>
          </rPr>
          <t>- Considerar cálculo do item para um empregado por mês, se for o caso.
- Preenchimentos na aba "VI. Insumos Diversos" desta planilha.</t>
        </r>
      </text>
    </comment>
    <comment ref="AF126" authorId="1" shapeId="0" xr:uid="{3F6D607C-0DBA-40DB-B28A-2E5A89DA7CCF}">
      <text>
        <r>
          <rPr>
            <sz val="9"/>
            <color indexed="8"/>
            <rFont val="Tahoma"/>
            <charset val="1"/>
          </rPr>
          <t>Valor para um empregado por mês, se for o caso.
- Preenchimentos na aba "VI. Insumos Diversos".</t>
        </r>
      </text>
    </comment>
    <comment ref="E127" authorId="0" shapeId="0" xr:uid="{5C45D303-041F-415E-9803-38BC3BF581CE}">
      <text>
        <r>
          <rPr>
            <sz val="9"/>
            <color indexed="81"/>
            <rFont val="Segoe UI"/>
            <family val="2"/>
          </rPr>
          <t>- Considerar cálculo do item para um empregado por mês, se for o caso.
- Preenchimentos na aba "VI. Insumos Diversos" desta planilha.</t>
        </r>
      </text>
    </comment>
    <comment ref="AF127" authorId="1" shapeId="0" xr:uid="{C892C59C-AE67-41EC-92A4-39052D49474E}">
      <text>
        <r>
          <rPr>
            <sz val="9"/>
            <color indexed="8"/>
            <rFont val="Tahoma"/>
            <charset val="1"/>
          </rPr>
          <t>Valor para um empregado por mês, se for o caso.
- Preenchimentos na aba "VI. Insumos Diversos".</t>
        </r>
      </text>
    </comment>
    <comment ref="E128" authorId="0" shapeId="0" xr:uid="{38389E2B-F93B-42FA-B924-F44068D44706}">
      <text>
        <r>
          <rPr>
            <sz val="9"/>
            <color indexed="81"/>
            <rFont val="Segoe UI"/>
            <family val="2"/>
          </rPr>
          <t>- Considerar cálculo do item para um empregado por mês, se for o caso.
- Preenchimentos na aba "VI. Insumos Diversos" desta planilha.</t>
        </r>
      </text>
    </comment>
    <comment ref="AF128" authorId="1" shapeId="0" xr:uid="{423549B7-5BC7-4D8A-ABCF-7D293BA7A79B}">
      <text>
        <r>
          <rPr>
            <sz val="9"/>
            <color indexed="8"/>
            <rFont val="Tahoma"/>
            <charset val="1"/>
          </rPr>
          <t>Valor para um empregado por mês, se for o caso.
- Preenchimentos na aba "VI. Insumos Diversos".</t>
        </r>
      </text>
    </comment>
    <comment ref="AF129" authorId="1" shapeId="0" xr:uid="{36AFD2A3-5825-4171-965C-58B535783BB9}">
      <text>
        <r>
          <rPr>
            <sz val="9"/>
            <color indexed="8"/>
            <rFont val="Tahoma"/>
            <charset val="1"/>
          </rPr>
          <t xml:space="preserve">Valor para um empregado por mês, se for o caso.
</t>
        </r>
      </text>
    </comment>
    <comment ref="AE135" authorId="1" shapeId="0" xr:uid="{0224E256-7EFA-4426-A492-5D29330F88A2}">
      <text>
        <r>
          <rPr>
            <sz val="9"/>
            <color indexed="8"/>
            <rFont val="Tahoma"/>
            <charset val="1"/>
          </rPr>
          <t>Percentual a título de custos indiretos.
Historicamente: Máximo 10,79%</t>
        </r>
      </text>
    </comment>
    <comment ref="AE136" authorId="1" shapeId="0" xr:uid="{4E8D54B3-FC66-46DA-B6A1-DBCA7DBCDF29}">
      <text>
        <r>
          <rPr>
            <sz val="9"/>
            <color indexed="8"/>
            <rFont val="Tahoma"/>
            <charset val="1"/>
          </rPr>
          <t>Percentual a título de taxa de lucro.
Historicamente: máximo 10%</t>
        </r>
      </text>
    </comment>
    <comment ref="AD141" authorId="1" shapeId="0" xr:uid="{84552CB1-93EF-4CBB-B74A-3782F88A5999}">
      <text>
        <r>
          <rPr>
            <sz val="9"/>
            <color indexed="8"/>
            <rFont val="Tahoma"/>
            <charset val="1"/>
          </rPr>
          <t>Caso a empresa seja beneficiária da desoneração da folha de pagamento, quando o INSS do submódulo 2.2-A é substituído pela CPRB - Contribuição Previdenciária sobre a Receita Bruta, é necessário informar a alíquota devida nesta célula.
Caso não seja informada, será atribuída a alíquota de 4,5%.</t>
        </r>
      </text>
    </comment>
    <comment ref="B176" authorId="1" shapeId="0" xr:uid="{4926408D-F5A8-48AC-9973-585F4DCFBEDA}">
      <text>
        <r>
          <rPr>
            <sz val="9"/>
            <color indexed="8"/>
            <rFont val="Tahoma"/>
            <charset val="1"/>
          </rPr>
          <t xml:space="preserve">Especificar a descrição do valor unitário que se pretende calcular.
Exemplos: 
Valor da Diária: (divisor: 30)
Valor da Hora: (divisor: jornada mensal)
</t>
        </r>
      </text>
    </comment>
    <comment ref="AE176" authorId="1" shapeId="0" xr:uid="{A6C4F82D-C209-4423-BB01-24189FD395BF}">
      <text>
        <r>
          <rPr>
            <sz val="9"/>
            <color indexed="8"/>
            <rFont val="Tahoma"/>
            <charset val="1"/>
          </rPr>
          <t>Informar o divisor para apurar o valor unitário pela unidade indicada, se necessário.
Exemplos: 
Valor da Diária: (divisor: 30)
Valor da Hora: (divisor: jornada mensal)</t>
        </r>
      </text>
    </comment>
    <comment ref="B177" authorId="1" shapeId="0" xr:uid="{74889577-FA50-4CA4-96F4-4F6672D18CC9}">
      <text>
        <r>
          <rPr>
            <sz val="9"/>
            <color indexed="8"/>
            <rFont val="Tahoma"/>
            <charset val="1"/>
          </rPr>
          <t>Especificar a descrição do valor unitário que se pretende calcular.
Exemplos: 
Valor da Diária: (divisor: 30)
Valor da Hora: (divisor: jornada mensal)</t>
        </r>
      </text>
    </comment>
    <comment ref="AE177" authorId="1" shapeId="0" xr:uid="{25F8D3A2-4430-445C-8D85-7453FE0F7B1D}">
      <text>
        <r>
          <rPr>
            <sz val="9"/>
            <color indexed="8"/>
            <rFont val="Tahoma"/>
            <charset val="1"/>
          </rPr>
          <t>Informar o divisor para apurar o valor unitário pela unidade indicada, se necessário.
Exemplos: 
Valor da Diária: (divisor: 30)
Valor da Hora: (divisor: jornada mensal)</t>
        </r>
      </text>
    </comment>
    <comment ref="AD180" authorId="1" shapeId="0" xr:uid="{D50DB518-07BE-4CDB-A1CA-1DF4BF74278A}">
      <text>
        <r>
          <rPr>
            <b/>
            <sz val="9"/>
            <color indexed="8"/>
            <rFont val="Tahoma"/>
            <family val="2"/>
          </rPr>
          <t>Informe o regime tributário da empresa na célular "J4", digitando o número</t>
        </r>
        <r>
          <rPr>
            <sz val="9"/>
            <color indexed="8"/>
            <rFont val="Tahoma"/>
            <charset val="1"/>
          </rPr>
          <t>:
1 - para empresa optante pelo SIMPLES NACIONAL; 
2 - para empresa submetida ao regime de Lucro Real; ou 
3 - para empresa submetida ao regime de Lucro Presumido.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Thiago Crystian Matozo</author>
    <author xml:space="preserve"> </author>
  </authors>
  <commentList>
    <comment ref="J5" authorId="0" shapeId="0" xr:uid="{99C0C7F4-6F59-434A-8C23-7714BEDEABE1}">
      <text>
        <r>
          <rPr>
            <sz val="9"/>
            <color indexed="81"/>
            <rFont val="Segoe UI"/>
            <family val="2"/>
          </rPr>
          <t>Inserir o nome da empresa proponente.</t>
        </r>
      </text>
    </comment>
    <comment ref="AE5" authorId="0" shapeId="0" xr:uid="{E56E0598-DA7A-440F-A944-A80B79396F51}">
      <text>
        <r>
          <rPr>
            <sz val="9"/>
            <color indexed="81"/>
            <rFont val="Segoe UI"/>
            <family val="2"/>
          </rPr>
          <t>Inserir o CNPJ da empresa proponente.</t>
        </r>
      </text>
    </comment>
    <comment ref="J7" authorId="1" shapeId="0" xr:uid="{B2037CCF-4090-42AF-8215-F500D0FF5932}">
      <text>
        <r>
          <rPr>
            <sz val="9"/>
            <color indexed="8"/>
            <rFont val="Tahoma"/>
            <charset val="1"/>
          </rPr>
          <t>Digite o número:
1 - para empresa optante pelo SIMPLES NACIONAL; 
2 - para empresa submetida ao regime de Lucro Real; ou 
3 - para empresa submetida ao regime de Lucro Presumido.</t>
        </r>
      </text>
    </comment>
    <comment ref="AE12" authorId="1" shapeId="0" xr:uid="{032F1E7C-FA42-4ACC-BFF8-72A4BAFAB9A2}">
      <text>
        <r>
          <rPr>
            <sz val="9"/>
            <color indexed="8"/>
            <rFont val="Tahoma"/>
            <charset val="1"/>
          </rPr>
          <t xml:space="preserve">Local da prestação dos serviços
</t>
        </r>
      </text>
    </comment>
    <comment ref="AE13" authorId="0" shapeId="0" xr:uid="{7FBDA836-ED8E-43C6-B793-50BF2CC80401}">
      <text>
        <r>
          <rPr>
            <sz val="9"/>
            <color indexed="81"/>
            <rFont val="Segoe UI"/>
            <family val="2"/>
          </rPr>
          <t>Arquivo "CCT Vigilantes" na íntegra consta na aba "VIII" desta planilha.</t>
        </r>
      </text>
    </comment>
    <comment ref="AE14" authorId="1" shapeId="0" xr:uid="{AF6A2C6A-24F9-4BC8-BA29-FE5B8ACB252A}">
      <text>
        <r>
          <rPr>
            <sz val="9"/>
            <color indexed="8"/>
            <rFont val="Tahoma"/>
            <charset val="1"/>
          </rPr>
          <t>Número de meses previstos inicialmente para a execução do contrato.</t>
        </r>
      </text>
    </comment>
    <comment ref="B18" authorId="1" shapeId="0" xr:uid="{80ED06C0-652E-4E23-9851-E7E6D29AEB32}">
      <text>
        <r>
          <rPr>
            <sz val="9"/>
            <color indexed="8"/>
            <rFont val="Tahoma"/>
            <charset val="1"/>
          </rPr>
          <t>Descrição suscinta do serviço conforme o Termo de Referência.</t>
        </r>
      </text>
    </comment>
    <comment ref="AE18" authorId="1" shapeId="0" xr:uid="{08A0D270-3EEB-4E2C-BB78-C7FC839195C4}">
      <text>
        <r>
          <rPr>
            <sz val="9"/>
            <color indexed="8"/>
            <rFont val="Tahoma"/>
            <charset val="1"/>
          </rPr>
          <t>Número de trabalhadores por posto de trabalho:
- Normalmente, na jornada de 12x36h, são 2 (dois) empregados em sistema de revezamento.</t>
        </r>
      </text>
    </comment>
    <comment ref="AE19" authorId="1" shapeId="0" xr:uid="{325BCA64-F307-4D8D-A4DF-E2173D3813C3}">
      <text>
        <r>
          <rPr>
            <sz val="9"/>
            <color indexed="8"/>
            <rFont val="Tahoma"/>
            <charset val="1"/>
          </rPr>
          <t>Número de postos de trabalho a contratar.</t>
        </r>
      </text>
    </comment>
    <comment ref="AE20" authorId="1" shapeId="0" xr:uid="{AB06D73D-CE19-4BE1-A622-2C467B2B79F9}">
      <text>
        <r>
          <rPr>
            <sz val="9"/>
            <color indexed="8"/>
            <rFont val="Tahoma"/>
            <charset val="1"/>
          </rPr>
          <t>Número de postos de trabalho a contratar.</t>
        </r>
      </text>
    </comment>
    <comment ref="AE21" authorId="1" shapeId="0" xr:uid="{67E3A534-D04F-4908-84E3-B0C66B1B0154}">
      <text>
        <r>
          <rPr>
            <sz val="9"/>
            <color indexed="8"/>
            <rFont val="Tahoma"/>
            <charset val="1"/>
          </rPr>
          <t xml:space="preserve">Se for Jornada de Trabalho 12 x 36 marque um "X"
Caso contrário, deixe vazia esta célula.
</t>
        </r>
      </text>
    </comment>
    <comment ref="AE27" authorId="1" shapeId="0" xr:uid="{133E0546-9043-4B5F-AB5A-B1B36D4BC787}">
      <text>
        <r>
          <rPr>
            <sz val="9"/>
            <color indexed="8"/>
            <rFont val="Tahoma"/>
            <charset val="1"/>
          </rPr>
          <t>Ex. de CBO: 
Servente (5142-10); 
garçom (5134-05); 
vigilante (5173-30);
bombeiro (7142-10).</t>
        </r>
      </text>
    </comment>
    <comment ref="AE28" authorId="1" shapeId="0" xr:uid="{478ACAE7-4AD0-4693-B32A-F6A26F5BCD64}">
      <text>
        <r>
          <rPr>
            <sz val="9"/>
            <color indexed="8"/>
            <rFont val="Tahoma"/>
            <charset val="1"/>
          </rPr>
          <t>Salário conforme previsto na CCT para a categoria funcional envolvida na prestação do serviço.</t>
        </r>
      </text>
    </comment>
    <comment ref="AG28" authorId="0" shapeId="0" xr:uid="{910D9D96-6AC8-4E81-B150-DD8867C6FEBE}">
      <text>
        <r>
          <rPr>
            <sz val="9"/>
            <color indexed="81"/>
            <rFont val="Segoe UI"/>
            <family val="2"/>
          </rPr>
          <t>Arquivo "CCT Vigilantes" na íntegra consta na aba "VIII" desta planilha.</t>
        </r>
      </text>
    </comment>
    <comment ref="AE29" authorId="1" shapeId="0" xr:uid="{2D8AD7B4-047D-4B25-A9DC-2DB53A0EBACA}">
      <text>
        <r>
          <rPr>
            <sz val="9"/>
            <color indexed="8"/>
            <rFont val="Tahoma"/>
            <charset val="1"/>
          </rPr>
          <t>Categoria funcional envolvida na prestação do serviço.
Ex.: Vigilante; ASG; Recepcionista...</t>
        </r>
      </text>
    </comment>
    <comment ref="AE30" authorId="1" shapeId="0" xr:uid="{178F3FC0-D227-40DD-A0F2-B2E95D2DC74A}">
      <text>
        <r>
          <rPr>
            <sz val="9"/>
            <color indexed="8"/>
            <rFont val="Tahoma"/>
            <charset val="1"/>
          </rPr>
          <t>Data de início de vigência da CCT (Data-base)</t>
        </r>
      </text>
    </comment>
    <comment ref="AE31" authorId="1" shapeId="0" xr:uid="{A01B857F-14F5-429D-A993-D515166F22B8}">
      <text>
        <r>
          <rPr>
            <sz val="9"/>
            <color indexed="8"/>
            <rFont val="Tahoma"/>
            <charset val="1"/>
          </rPr>
          <t>Salário mínimo vigente.</t>
        </r>
      </text>
    </comment>
    <comment ref="AF36" authorId="1" shapeId="0" xr:uid="{DBDC0F8B-953C-4CD7-AFD5-EC2FF196F2A5}">
      <text>
        <r>
          <rPr>
            <sz val="9"/>
            <color indexed="8"/>
            <rFont val="Tahoma"/>
            <charset val="1"/>
          </rPr>
          <t>Salário proposto pela contratada. Não pode ser inferior ao salário normativo da categoria previsto na CCT.</t>
        </r>
      </text>
    </comment>
    <comment ref="AE37" authorId="1" shapeId="0" xr:uid="{FA003569-ED48-4A22-AC2E-D1F124C650DB}">
      <text>
        <r>
          <rPr>
            <sz val="9"/>
            <color indexed="8"/>
            <rFont val="Tahoma"/>
            <charset val="1"/>
          </rPr>
          <t>O percentual é aplicado sobre o salário base.</t>
        </r>
      </text>
    </comment>
    <comment ref="AD38" authorId="1" shapeId="0" xr:uid="{552EAEF0-84AD-4E2A-8A7E-6FEB7B12CF6C}">
      <text>
        <r>
          <rPr>
            <sz val="9"/>
            <color indexed="8"/>
            <rFont val="Tahoma"/>
            <charset val="1"/>
          </rPr>
          <t xml:space="preserve">Deixando esta célula vazia, o percentual será aplicado sobre o salário mínimo vigente no local da prestação dos serviços.
Para incidir sobre o salário base, caso previsto na CCT, marque esta célula com um "X". </t>
        </r>
      </text>
    </comment>
    <comment ref="AE38" authorId="1" shapeId="0" xr:uid="{AC76573E-CB24-4C72-BB21-AB8E7AC60463}">
      <text>
        <r>
          <rPr>
            <sz val="9"/>
            <color indexed="8"/>
            <rFont val="Tahoma"/>
            <charset val="1"/>
          </rPr>
          <t>O percentual é aplicado sobre o salário mínimo vigente no local da prestação dos serviços, salvo se a CCT dispuser de modo diverso.
(mínimo: 10%; médio: 20%; ou máximo: 40%)</t>
        </r>
      </text>
    </comment>
    <comment ref="AD39" authorId="1" shapeId="0" xr:uid="{4E112578-01AD-4C02-816B-3653BC6FC367}">
      <text>
        <r>
          <rPr>
            <sz val="9"/>
            <color indexed="8"/>
            <rFont val="Tahoma"/>
            <charset val="1"/>
          </rPr>
          <t xml:space="preserve">Caso não haja incidência de adicional noturno, deixe esta célula vazia!
Do contrário, informe o percentual que, ordinariamente, é de </t>
        </r>
        <r>
          <rPr>
            <b/>
            <sz val="9"/>
            <color indexed="8"/>
            <rFont val="Tahoma"/>
            <family val="2"/>
          </rPr>
          <t>20%</t>
        </r>
        <r>
          <rPr>
            <sz val="9"/>
            <color indexed="8"/>
            <rFont val="Tahoma"/>
            <charset val="1"/>
          </rPr>
          <t>, podendo ser de até 50%, se assim definido na CCT.
Hora Reduzida: 1h = 52'30"</t>
        </r>
      </text>
    </comment>
    <comment ref="AD40" authorId="1" shapeId="0" xr:uid="{7A899C09-6EFF-4341-828A-5F40E16244CF}">
      <text>
        <r>
          <rPr>
            <sz val="9"/>
            <color indexed="8"/>
            <rFont val="Tahoma"/>
            <charset val="1"/>
          </rPr>
          <t>Hora Reduzida: 1h = 52'30"</t>
        </r>
      </text>
    </comment>
    <comment ref="L41" authorId="1" shapeId="0" xr:uid="{87B67931-011C-4756-A0CA-D33A9FA9BF09}">
      <text>
        <r>
          <rPr>
            <sz val="9"/>
            <color indexed="8"/>
            <rFont val="Tahoma"/>
            <charset val="1"/>
          </rPr>
          <t>Especifirar o eventual custo e explicitar a memória de cálculo e fundamento legal.</t>
        </r>
      </text>
    </comment>
    <comment ref="AE41" authorId="1" shapeId="0" xr:uid="{BDF5FF56-B2FF-4C5F-B1C3-EB3A98F8BB50}">
      <text>
        <r>
          <rPr>
            <sz val="9"/>
            <color indexed="8"/>
            <rFont val="Tahoma"/>
            <charset val="1"/>
          </rPr>
          <t>O percentual é aplicado sobre o salário base.</t>
        </r>
      </text>
    </comment>
    <comment ref="AD54" authorId="1" shapeId="0" xr:uid="{B00A4770-FB45-4808-BCF4-1AE21430F5EC}">
      <text>
        <r>
          <rPr>
            <sz val="9"/>
            <color indexed="8"/>
            <rFont val="Tahoma"/>
            <charset val="1"/>
          </rPr>
          <t xml:space="preserve">Caso a Empresa seja beneficiária da </t>
        </r>
        <r>
          <rPr>
            <b/>
            <sz val="9"/>
            <color indexed="8"/>
            <rFont val="Tahoma"/>
            <family val="2"/>
          </rPr>
          <t>Desoneração da Folha - INSS substituído pela CPRB - Lei 13.670/2018</t>
        </r>
        <r>
          <rPr>
            <sz val="9"/>
            <color indexed="8"/>
            <rFont val="Tahoma"/>
            <charset val="1"/>
          </rPr>
          <t>, marque esta célula com um "X". 
Caso contrário, deixe-a vazia.</t>
        </r>
      </text>
    </comment>
    <comment ref="AE56" authorId="1" shapeId="0" xr:uid="{7A44F42D-1F2B-45C7-B80C-81DF6C463A3E}">
      <text>
        <r>
          <rPr>
            <sz val="9"/>
            <color indexed="8"/>
            <rFont val="Tahoma"/>
            <charset val="1"/>
          </rPr>
          <t>Informar o percentual do RAT AJUSTADO (RAT X FAP), conforme o índice constante na GFIP.</t>
        </r>
      </text>
    </comment>
    <comment ref="L62" authorId="1" shapeId="0" xr:uid="{0EEA1417-613C-4E1B-865D-F47D0F01E88A}">
      <text>
        <r>
          <rPr>
            <sz val="9"/>
            <color indexed="8"/>
            <rFont val="Tahoma"/>
            <charset val="1"/>
          </rPr>
          <t>Especifirar o eventual custo e explicitar a memória de cálculo e fundamento legal.</t>
        </r>
      </text>
    </comment>
    <comment ref="E67" authorId="0" shapeId="0" xr:uid="{9F51171C-4A23-4A5C-9C86-52C6B660C882}">
      <text>
        <r>
          <rPr>
            <b/>
            <sz val="9"/>
            <color indexed="81"/>
            <rFont val="Segoe UI"/>
            <family val="2"/>
          </rPr>
          <t xml:space="preserve">ATENÇÃO:
- No Município de Paranaguá/PR possui o programa "TARIFA ZERO" (Lei Complementar 269/2021 de Paranaguá PR): </t>
        </r>
        <r>
          <rPr>
            <sz val="9"/>
            <color indexed="81"/>
            <rFont val="Segoe UI"/>
            <family val="2"/>
          </rPr>
          <t xml:space="preserve">garante que o transporte público seja gratuito para o usuário. No entanto, a lei que instituiu o programa não desonera a empresa de sua obrigação de fornecer o vale-transporte aos funcionários que utilizam o sistema de transporte coletivo urbano.
</t>
        </r>
        <r>
          <rPr>
            <b/>
            <sz val="9"/>
            <color indexed="81"/>
            <rFont val="Segoe UI"/>
            <family val="2"/>
          </rPr>
          <t xml:space="preserve">Cálculo do custo por funcionário:
- Valor integral pago pela empresa = R$ 58,00 </t>
        </r>
        <r>
          <rPr>
            <sz val="9"/>
            <color indexed="81"/>
            <rFont val="Segoe UI"/>
            <family val="2"/>
          </rPr>
          <t xml:space="preserve">(esse valor deve ser inserido no sistema pela empresa para a compra do passe do funcionário). 
</t>
        </r>
        <r>
          <rPr>
            <b/>
            <sz val="9"/>
            <color indexed="81"/>
            <rFont val="Segoe UI"/>
            <family val="2"/>
          </rPr>
          <t xml:space="preserve">- Desconto máximo do salário do funcionário = </t>
        </r>
        <r>
          <rPr>
            <sz val="9"/>
            <color indexed="81"/>
            <rFont val="Segoe UI"/>
            <family val="2"/>
          </rPr>
          <t>Até 6% do salário-base do funcionário. O valor exato do desconto é a parte do salário que corresponde a até 6% do valor total do transporte, conforme a lei.</t>
        </r>
      </text>
    </comment>
    <comment ref="AE67" authorId="1" shapeId="0" xr:uid="{57E7D803-9A47-4B64-B070-F7B03E063C21}">
      <text>
        <r>
          <rPr>
            <sz val="9"/>
            <color indexed="8"/>
            <rFont val="Tahoma"/>
            <charset val="1"/>
          </rPr>
          <t>Número de vales transportes a serem fornecidos por mês a cada empregado da categoria.</t>
        </r>
      </text>
    </comment>
    <comment ref="AG67" authorId="0" shapeId="0" xr:uid="{26EA9047-A52F-4144-B140-8DACA4BD2F33}">
      <text>
        <r>
          <rPr>
            <sz val="9"/>
            <color indexed="81"/>
            <rFont val="Segoe UI"/>
            <family val="2"/>
          </rPr>
          <t>Arquivo "CCT Vigilantes" na íntegra consta na aba "VIII" desta planilha.</t>
        </r>
      </text>
    </comment>
    <comment ref="AE68" authorId="1" shapeId="0" xr:uid="{B1D4281E-8C4F-4726-9E60-29D33ADCB791}">
      <text>
        <r>
          <rPr>
            <sz val="9"/>
            <color indexed="8"/>
            <rFont val="Tahoma"/>
            <charset val="1"/>
          </rPr>
          <t>Valor unitário do vale transporte (R$).</t>
        </r>
      </text>
    </comment>
    <comment ref="AE69" authorId="1" shapeId="0" xr:uid="{0E17C983-F1AC-4502-A8C9-A126A1B352D7}">
      <text>
        <r>
          <rPr>
            <sz val="9"/>
            <color indexed="8"/>
            <rFont val="Tahoma"/>
            <charset val="1"/>
          </rPr>
          <t>Valor mensal de auxílio alimentação por empregado da categoria (CCT)</t>
        </r>
      </text>
    </comment>
    <comment ref="AE70" authorId="1" shapeId="0" xr:uid="{4768F746-B747-4C4D-8454-05351EB1AA50}">
      <text>
        <r>
          <rPr>
            <sz val="9"/>
            <color indexed="8"/>
            <rFont val="Tahoma"/>
            <charset val="1"/>
          </rPr>
          <t>Percentual de desconto do empregado sobre o auxílio alimentação (v. CCT).</t>
        </r>
      </text>
    </comment>
    <comment ref="AF71" authorId="1" shapeId="0" xr:uid="{6009A17C-1089-4F85-8E1C-7C9B0911EE20}">
      <text>
        <r>
          <rPr>
            <sz val="9"/>
            <color indexed="8"/>
            <rFont val="Tahoma"/>
            <charset val="1"/>
          </rPr>
          <t>Explicitar memória de cálculo.</t>
        </r>
      </text>
    </comment>
    <comment ref="AE72" authorId="1" shapeId="0" xr:uid="{B356BC03-B2A9-43CF-8A84-770B6CA3E0ED}">
      <text>
        <r>
          <rPr>
            <sz val="9"/>
            <color indexed="8"/>
            <rFont val="Tahoma"/>
            <charset val="1"/>
          </rPr>
          <t xml:space="preserve">No regime de trabalho 12 x 36, caso o empregado não usufrua o intervalo de repouso intrajornada (permanece trabalhando) marque um "X" nesta célula.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AF73" authorId="1" shapeId="0" xr:uid="{95E6D78E-14C9-47CC-B2A4-622FFFF481C7}">
      <text>
        <r>
          <rPr>
            <sz val="9"/>
            <color indexed="8"/>
            <rFont val="Tahoma"/>
            <charset val="1"/>
          </rPr>
          <t>Informar o valor para um empregado por mês, se for o caso, e explicitar a memória de cálculo.</t>
        </r>
      </text>
    </comment>
    <comment ref="AF74" authorId="1" shapeId="0" xr:uid="{A8D8C1B1-C3A4-4035-B132-9B89E4AB98AD}">
      <text>
        <r>
          <rPr>
            <sz val="9"/>
            <color indexed="8"/>
            <rFont val="Tahoma"/>
            <charset val="1"/>
          </rPr>
          <t>Informar o valor para um empregado por mês, se for o caso, e explicitar a memória de cálculo.</t>
        </r>
      </text>
    </comment>
    <comment ref="AD87" authorId="1" shapeId="0" xr:uid="{4E185CBA-78E8-41A2-AF0E-14A1F29ABBB8}">
      <text>
        <r>
          <rPr>
            <sz val="9"/>
            <color indexed="8"/>
            <rFont val="Tahoma"/>
            <charset val="1"/>
          </rPr>
          <t>Percentual de dispensa sem justa causa com aviso prévio indenizado, durante a execução ou ao final do contrato. Ou seja, percentual estimado de empregados com previsão de pagamento de aviso prévio indenizado. OBS.: informação gerencial da empresa, observada a razoabilidade. Historicamente estimado em 5%.</t>
        </r>
      </text>
    </comment>
    <comment ref="AD90" authorId="1" shapeId="0" xr:uid="{DD9DAE0A-AEE1-48BE-8028-27866B30430A}">
      <text>
        <r>
          <rPr>
            <sz val="9"/>
            <color indexed="8"/>
            <rFont val="Tahoma"/>
            <charset val="1"/>
          </rPr>
          <t>Percentual de dispensa sem justa causa com aviso prévio trabalhado, durante a execução ou ao final do contrato. Ou seja, percentual estimado de empregados com previsão de pagamento de aviso prévio trabalhado. OBS.: informação gerencial da empresa, observada a razoabilidade. Historicamente estimado em 95%.</t>
        </r>
      </text>
    </comment>
    <comment ref="AD100" authorId="1" shapeId="0" xr:uid="{20E2558B-00A1-491A-A62C-5073D74780C5}">
      <text>
        <r>
          <rPr>
            <sz val="9"/>
            <color indexed="8"/>
            <rFont val="Tahoma"/>
            <charset val="1"/>
          </rPr>
          <t>Número médio de dias de ausências legais no período de um ano (pode ser estimativa com base no histórico de contratos anteriores).  
OBS.: informação gerencial da empresa, observada a razoabilidade. (estimativa: 2 dias)</t>
        </r>
      </text>
    </comment>
    <comment ref="AD101" authorId="1" shapeId="0" xr:uid="{DF3EC16C-7FE0-4523-9DA4-8FA949DE1988}">
      <text>
        <r>
          <rPr>
            <sz val="9"/>
            <color indexed="8"/>
            <rFont val="Tahoma"/>
            <charset val="1"/>
          </rPr>
          <t>Percentual médio de afastamento de licença-paternidade no período de um ano (pode ser estimativa com base no histórico de contratos anteriores).  
OBS.: informação gerencial da empresa, observada a razoabilidade. (Estimativa: 2 %)</t>
        </r>
      </text>
    </comment>
    <comment ref="AD102" authorId="1" shapeId="0" xr:uid="{D14B43B7-9CAE-4EC8-A1DD-E2299C8F5BE3}">
      <text>
        <r>
          <rPr>
            <sz val="9"/>
            <color indexed="8"/>
            <rFont val="Tahoma"/>
            <charset val="1"/>
          </rPr>
          <t>Percentual da incidência de ausência por acidente de trabalho no período de um ano (pode ser estimativa com base no histórico de contratos anteriores).  
OBS.: informação gerencial da empresa, observada a razoabilidade. (Estimativa 8 %)</t>
        </r>
      </text>
    </comment>
    <comment ref="AD103" authorId="1" shapeId="0" xr:uid="{AAD27E20-0DFB-4860-88EC-A5426F61A9E6}">
      <text>
        <r>
          <rPr>
            <sz val="9"/>
            <color indexed="8"/>
            <rFont val="Tahoma"/>
            <charset val="1"/>
          </rPr>
          <t>Percentual da incidência de afastamento maternidade no período de um ano (pode ser estimativa com base no histórico de contratos anteriores).  
OBS.: informação gerencial da empresa, observada a razoabilidade. (Estimativa 3 %)</t>
        </r>
      </text>
    </comment>
    <comment ref="S104" authorId="1" shapeId="0" xr:uid="{3A13DD48-CD4B-49E4-AC6A-84FF84DA964A}">
      <text>
        <r>
          <rPr>
            <sz val="9"/>
            <color indexed="8"/>
            <rFont val="Tahoma"/>
            <charset val="1"/>
          </rPr>
          <t>Explicitar, se for o caso, inclusive com memória de cálculo.</t>
        </r>
      </text>
    </comment>
    <comment ref="AD104" authorId="0" shapeId="0" xr:uid="{BEB3C4B4-B769-43DA-9301-C933B66EE9C6}">
      <text>
        <r>
          <rPr>
            <sz val="9"/>
            <color indexed="81"/>
            <rFont val="Segoe UI"/>
            <family val="2"/>
          </rPr>
          <t>Inserir Qtde.</t>
        </r>
      </text>
    </comment>
    <comment ref="AF104" authorId="1" shapeId="0" xr:uid="{90BDF9CC-8518-45BB-A2C1-32678EE3BE05}">
      <text>
        <r>
          <rPr>
            <sz val="9"/>
            <color indexed="8"/>
            <rFont val="Tahoma"/>
            <charset val="1"/>
          </rPr>
          <t>Informar o valor para um empregado por mês, se for o caso.</t>
        </r>
      </text>
    </comment>
    <comment ref="AE109" authorId="1" shapeId="0" xr:uid="{204964EF-6AC0-489E-B50D-BED6CF6A419C}">
      <text>
        <r>
          <rPr>
            <sz val="9"/>
            <color indexed="8"/>
            <rFont val="Tahoma"/>
            <charset val="1"/>
          </rPr>
          <t xml:space="preserve">No regime de trabalho 12 x 36, a ocorrência deste item está relacionada ao submódulo 2.3-D. 
Caso o empregado usufrua o intervalo de repouso ou alimentação, ele deverá ser substituído, devendo ser informado o valor no Submódulo 4.2. 
Caso contrário, se ele não usufruir, será pago por isso e o valor será apurado no Submódulo 2.3-D.  
Em resumo: Só deve constar valor informado ou no Submódulo 2.3-D ou no Submódulo 4.2. Nunca os dois.
</t>
        </r>
      </text>
    </comment>
    <comment ref="E120" authorId="0" shapeId="0" xr:uid="{3B4EA723-3445-4A1B-AB7A-6FF31DF1574D}">
      <text>
        <r>
          <rPr>
            <sz val="9"/>
            <color indexed="81"/>
            <rFont val="Segoe UI"/>
            <family val="2"/>
          </rPr>
          <t>- Considerar cálculo do item para um empregado por mês, se for o caso.
- Preenchimentos na aba "VI. Insumos Diversos" desta planilha.</t>
        </r>
      </text>
    </comment>
    <comment ref="AF120" authorId="1" shapeId="0" xr:uid="{54BA047D-E072-4D07-81B0-F22D036D5DCC}">
      <text>
        <r>
          <rPr>
            <sz val="9"/>
            <color indexed="8"/>
            <rFont val="Tahoma"/>
            <charset val="1"/>
          </rPr>
          <t>Valor para um empregado por mês, se for o caso.
- Preenchimentos na aba "VI. Insumos Diversos".</t>
        </r>
      </text>
    </comment>
    <comment ref="E121" authorId="0" shapeId="0" xr:uid="{B8EAD27C-EC6D-400C-8A9C-4C4926C1E16F}">
      <text>
        <r>
          <rPr>
            <sz val="9"/>
            <color indexed="81"/>
            <rFont val="Segoe UI"/>
            <family val="2"/>
          </rPr>
          <t>- Considerar cálculo do item para um empregado por mês, se for o caso.
- Preenchimentos na aba "VI. Insumos Diversos" desta planilha.</t>
        </r>
      </text>
    </comment>
    <comment ref="AF121" authorId="1" shapeId="0" xr:uid="{AB065B14-0DE4-48D6-BBD4-E4BDF55B8283}">
      <text>
        <r>
          <rPr>
            <sz val="9"/>
            <color indexed="8"/>
            <rFont val="Tahoma"/>
            <charset val="1"/>
          </rPr>
          <t>Valor para um empregado por mês, se for o caso.
- Preenchimentos na aba "VI. Insumos Diversos".</t>
        </r>
      </text>
    </comment>
    <comment ref="E122" authorId="0" shapeId="0" xr:uid="{0596375F-14D4-46AA-851E-2731D9F5B186}">
      <text>
        <r>
          <rPr>
            <sz val="9"/>
            <color indexed="81"/>
            <rFont val="Segoe UI"/>
            <family val="2"/>
          </rPr>
          <t>- Considerar cálculo do item para um empregado por mês, se for o caso.
- Preenchimentos na aba "VI. Insumos Diversos" desta planilha.</t>
        </r>
      </text>
    </comment>
    <comment ref="AF122" authorId="1" shapeId="0" xr:uid="{BDCA8635-5BB7-439D-BF8E-3BD8C80B13EB}">
      <text>
        <r>
          <rPr>
            <sz val="9"/>
            <color indexed="8"/>
            <rFont val="Tahoma"/>
            <charset val="1"/>
          </rPr>
          <t>Valor para um empregado por mês, se for o caso.
- Preenchimentos na aba "VI. Insumos Diversos".</t>
        </r>
      </text>
    </comment>
    <comment ref="E123" authorId="0" shapeId="0" xr:uid="{08431DC5-2D13-4410-8739-6588896DC812}">
      <text>
        <r>
          <rPr>
            <sz val="9"/>
            <color indexed="81"/>
            <rFont val="Segoe UI"/>
            <family val="2"/>
          </rPr>
          <t>- Considerar cálculo do item para um empregado por mês, se for o caso.
- Preenchimentos na aba "VI. Insumos Diversos" desta planilha.</t>
        </r>
      </text>
    </comment>
    <comment ref="AF123" authorId="1" shapeId="0" xr:uid="{3551B03F-6AF0-4016-8376-A0069F332E10}">
      <text>
        <r>
          <rPr>
            <sz val="9"/>
            <color indexed="8"/>
            <rFont val="Tahoma"/>
            <charset val="1"/>
          </rPr>
          <t>Valor para um empregado por mês, se for o caso.
- Preenchimentos na aba "VI. Insumos Diversos".</t>
        </r>
      </text>
    </comment>
    <comment ref="E124" authorId="0" shapeId="0" xr:uid="{9DA2B2C5-0BD6-4455-82D9-53B21B03972A}">
      <text>
        <r>
          <rPr>
            <sz val="9"/>
            <color indexed="81"/>
            <rFont val="Segoe UI"/>
            <family val="2"/>
          </rPr>
          <t>- Considerar cálculo do item para um empregado por mês, se for o caso.
- Preenchimentos na aba "VI. Insumos Diversos" desta planilha.</t>
        </r>
      </text>
    </comment>
    <comment ref="AF124" authorId="1" shapeId="0" xr:uid="{1F3E52DF-8E9D-47ED-945F-72EF4BF6A06E}">
      <text>
        <r>
          <rPr>
            <sz val="9"/>
            <color indexed="8"/>
            <rFont val="Tahoma"/>
            <charset val="1"/>
          </rPr>
          <t>Valor para um empregado por mês, se for o caso.
- Preenchimentos na aba "VI. Insumos Diversos".</t>
        </r>
      </text>
    </comment>
    <comment ref="E125" authorId="0" shapeId="0" xr:uid="{81134F30-D6D1-4BD5-B220-332A8685DFE7}">
      <text>
        <r>
          <rPr>
            <sz val="9"/>
            <color indexed="81"/>
            <rFont val="Segoe UI"/>
            <family val="2"/>
          </rPr>
          <t>- Considerar cálculo do item para um empregado por mês, se for o caso.
- Preenchimentos na aba "VI. Insumos Diversos" desta planilha.</t>
        </r>
      </text>
    </comment>
    <comment ref="AF125" authorId="1" shapeId="0" xr:uid="{6C113718-6605-4BA2-B3AB-DBD48F9E3EE5}">
      <text>
        <r>
          <rPr>
            <sz val="9"/>
            <color indexed="8"/>
            <rFont val="Tahoma"/>
            <charset val="1"/>
          </rPr>
          <t>Valor para um empregado por mês, se for o caso.
- Preenchimentos na aba "VI. Insumos Diversos".</t>
        </r>
      </text>
    </comment>
    <comment ref="E126" authorId="0" shapeId="0" xr:uid="{B59D3CB4-89E8-42A6-95E7-F9C965536C42}">
      <text>
        <r>
          <rPr>
            <sz val="9"/>
            <color indexed="81"/>
            <rFont val="Segoe UI"/>
            <family val="2"/>
          </rPr>
          <t>- Considerar cálculo do item para um empregado por mês, se for o caso.
- Preenchimentos na aba "VI. Insumos Diversos" desta planilha.</t>
        </r>
      </text>
    </comment>
    <comment ref="AF126" authorId="1" shapeId="0" xr:uid="{9558E05B-92DB-450A-A73F-A52F9917FEEE}">
      <text>
        <r>
          <rPr>
            <sz val="9"/>
            <color indexed="8"/>
            <rFont val="Tahoma"/>
            <charset val="1"/>
          </rPr>
          <t>Valor para um empregado por mês, se for o caso.
- Preenchimentos na aba "VI. Insumos Diversos".</t>
        </r>
      </text>
    </comment>
    <comment ref="E127" authorId="0" shapeId="0" xr:uid="{904CE315-C957-4B62-8B75-E7AE57BB4632}">
      <text>
        <r>
          <rPr>
            <sz val="9"/>
            <color indexed="81"/>
            <rFont val="Segoe UI"/>
            <family val="2"/>
          </rPr>
          <t>- Considerar cálculo do item para um empregado por mês, se for o caso.
- Preenchimentos na aba "VI. Insumos Diversos" desta planilha.</t>
        </r>
      </text>
    </comment>
    <comment ref="AF127" authorId="1" shapeId="0" xr:uid="{41BE6342-03E1-432C-8AF8-A3D75073DB6D}">
      <text>
        <r>
          <rPr>
            <sz val="9"/>
            <color indexed="8"/>
            <rFont val="Tahoma"/>
            <charset val="1"/>
          </rPr>
          <t>Valor para um empregado por mês, se for o caso.
- Preenchimentos na aba "VI. Insumos Diversos".</t>
        </r>
      </text>
    </comment>
    <comment ref="E128" authorId="0" shapeId="0" xr:uid="{7315CDFF-F494-41D2-8E9A-E808F0555FA1}">
      <text>
        <r>
          <rPr>
            <sz val="9"/>
            <color indexed="81"/>
            <rFont val="Segoe UI"/>
            <family val="2"/>
          </rPr>
          <t>- Considerar cálculo do item para um empregado por mês, se for o caso.
- Preenchimentos na aba "VI. Insumos Diversos" desta planilha.</t>
        </r>
      </text>
    </comment>
    <comment ref="AF128" authorId="1" shapeId="0" xr:uid="{552F789D-BC5A-4AB0-A514-0420CD8A583E}">
      <text>
        <r>
          <rPr>
            <sz val="9"/>
            <color indexed="8"/>
            <rFont val="Tahoma"/>
            <charset val="1"/>
          </rPr>
          <t>Valor para um empregado por mês, se for o caso.
- Preenchimentos na aba "VI. Insumos Diversos".</t>
        </r>
      </text>
    </comment>
    <comment ref="AF129" authorId="1" shapeId="0" xr:uid="{5AEF8537-D240-4436-B8EF-4DC07DD3A4A5}">
      <text>
        <r>
          <rPr>
            <sz val="9"/>
            <color indexed="8"/>
            <rFont val="Tahoma"/>
            <charset val="1"/>
          </rPr>
          <t xml:space="preserve">Valor para um empregado por mês, se for o caso.
</t>
        </r>
      </text>
    </comment>
    <comment ref="AE135" authorId="1" shapeId="0" xr:uid="{66404903-BB36-4288-9E8F-8352301021E2}">
      <text>
        <r>
          <rPr>
            <sz val="9"/>
            <color indexed="8"/>
            <rFont val="Tahoma"/>
            <charset val="1"/>
          </rPr>
          <t>Percentual a título de custos indiretos.
Historicamente: Máximo 10,79%</t>
        </r>
      </text>
    </comment>
    <comment ref="AE136" authorId="1" shapeId="0" xr:uid="{16E59166-390C-4A7F-80E3-41B92B03FC81}">
      <text>
        <r>
          <rPr>
            <sz val="9"/>
            <color indexed="8"/>
            <rFont val="Tahoma"/>
            <charset val="1"/>
          </rPr>
          <t>Percentual a título de taxa de lucro.
Historicamente: máximo 10%</t>
        </r>
      </text>
    </comment>
    <comment ref="AD141" authorId="1" shapeId="0" xr:uid="{CACFB024-698F-4F28-9954-947AC6C6D77D}">
      <text>
        <r>
          <rPr>
            <sz val="9"/>
            <color indexed="8"/>
            <rFont val="Tahoma"/>
            <charset val="1"/>
          </rPr>
          <t>Caso a empresa seja beneficiária da desoneração da folha de pagamento, quando o INSS do submódulo 2.2-A é substituído pela CPRB - Contribuição Previdenciária sobre a Receita Bruta, é necessário informar a alíquota devida nesta célula.
Caso não seja informada, será atribuída a alíquota de 4,5%.</t>
        </r>
      </text>
    </comment>
    <comment ref="B176" authorId="1" shapeId="0" xr:uid="{EE895D0D-8C89-45AD-9677-82A23F39EE08}">
      <text>
        <r>
          <rPr>
            <sz val="9"/>
            <color indexed="8"/>
            <rFont val="Tahoma"/>
            <charset val="1"/>
          </rPr>
          <t xml:space="preserve">Especificar a descrição do valor unitário que se pretende calcular.
Exemplos: 
Valor da Diária: (divisor: 30)
Valor da Hora: (divisor: jornada mensal)
</t>
        </r>
      </text>
    </comment>
    <comment ref="AE176" authorId="1" shapeId="0" xr:uid="{DAA854EC-82BC-4F15-8620-659B5B6A9D69}">
      <text>
        <r>
          <rPr>
            <sz val="9"/>
            <color indexed="8"/>
            <rFont val="Tahoma"/>
            <charset val="1"/>
          </rPr>
          <t>Informar o divisor para apurar o valor unitário pela unidade indicada, se necessário.
Exemplos: 
Valor da Diária: (divisor: 30)
Valor da Hora: (divisor: jornada mensal)</t>
        </r>
      </text>
    </comment>
    <comment ref="B177" authorId="1" shapeId="0" xr:uid="{79E92DFD-F756-4F75-9C63-48F879FBB4BF}">
      <text>
        <r>
          <rPr>
            <sz val="9"/>
            <color indexed="8"/>
            <rFont val="Tahoma"/>
            <charset val="1"/>
          </rPr>
          <t>Especificar a descrição do valor unitário que se pretende calcular.
Exemplos: 
Valor da Diária: (divisor: 30)
Valor da Hora: (divisor: jornada mensal)</t>
        </r>
      </text>
    </comment>
    <comment ref="AE177" authorId="1" shapeId="0" xr:uid="{DFC24E9D-4AFB-49C7-967C-6B097EF9223F}">
      <text>
        <r>
          <rPr>
            <sz val="9"/>
            <color indexed="8"/>
            <rFont val="Tahoma"/>
            <charset val="1"/>
          </rPr>
          <t>Informar o divisor para apurar o valor unitário pela unidade indicada, se necessário.
Exemplos: 
Valor da Diária: (divisor: 30)
Valor da Hora: (divisor: jornada mensal)</t>
        </r>
      </text>
    </comment>
    <comment ref="AD180" authorId="1" shapeId="0" xr:uid="{B76B0DA7-0E72-4814-9690-EDB98C50722D}">
      <text>
        <r>
          <rPr>
            <b/>
            <sz val="9"/>
            <color indexed="8"/>
            <rFont val="Tahoma"/>
            <family val="2"/>
          </rPr>
          <t>Informe o regime tributário da empresa na célular "J4", digitando o número</t>
        </r>
        <r>
          <rPr>
            <sz val="9"/>
            <color indexed="8"/>
            <rFont val="Tahoma"/>
            <charset val="1"/>
          </rPr>
          <t>:
1 - para empresa optante pelo SIMPLES NACIONAL; 
2 - para empresa submetida ao regime de Lucro Real; ou 
3 - para empresa submetida ao regime de Lucro Presumido.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Thiago Crystian Matozo</author>
  </authors>
  <commentList>
    <comment ref="H12" authorId="0" shapeId="0" xr:uid="{93049FAF-9EA5-41CC-BDBA-E810CC51C96B}">
      <text>
        <r>
          <rPr>
            <b/>
            <sz val="9"/>
            <color indexed="81"/>
            <rFont val="Segoe UI"/>
            <family val="2"/>
          </rPr>
          <t xml:space="preserve">
**ATENÇÃO:</t>
        </r>
        <r>
          <rPr>
            <sz val="9"/>
            <color indexed="81"/>
            <rFont val="Segoe UI"/>
            <family val="2"/>
          </rPr>
          <t xml:space="preserve">
- Atualizar valor de acordo com vossa proposta!</t>
        </r>
      </text>
    </comment>
    <comment ref="H19" authorId="0" shapeId="0" xr:uid="{C319FB25-4B93-4A80-AE09-B25328DF468D}">
      <text>
        <r>
          <rPr>
            <b/>
            <sz val="9"/>
            <color indexed="81"/>
            <rFont val="Segoe UI"/>
            <family val="2"/>
          </rPr>
          <t xml:space="preserve">**ATENÇÃO:
</t>
        </r>
        <r>
          <rPr>
            <sz val="9"/>
            <color indexed="81"/>
            <rFont val="Segoe UI"/>
            <family val="2"/>
          </rPr>
          <t xml:space="preserve">
- Atualizar valor de acordo com vossa proposta!
- No valor informado já deverá considerar valor do veículo + despesas (manutenção, combustível e seguro) + impostos.</t>
        </r>
      </text>
    </comment>
    <comment ref="H26" authorId="0" shapeId="0" xr:uid="{487668C1-90AB-4C6B-A833-EA4589A6FD23}">
      <text>
        <r>
          <rPr>
            <b/>
            <sz val="9"/>
            <color indexed="81"/>
            <rFont val="Segoe UI"/>
            <family val="2"/>
          </rPr>
          <t xml:space="preserve">**ATENÇÃO:
</t>
        </r>
        <r>
          <rPr>
            <sz val="9"/>
            <color indexed="81"/>
            <rFont val="Segoe UI"/>
            <family val="2"/>
          </rPr>
          <t xml:space="preserve">
- Atualizar valor de acordo com vossa proposta!
- No valor informado já deverá considerar valor do veículo + despesas (manutenção, combustível e seguro) + impostos.</t>
        </r>
      </text>
    </comment>
    <comment ref="H33" authorId="0" shapeId="0" xr:uid="{005DD8F9-C4F3-4255-8CCB-6F033B67D6C0}">
      <text>
        <r>
          <rPr>
            <b/>
            <sz val="9"/>
            <color indexed="81"/>
            <rFont val="Segoe UI"/>
            <family val="2"/>
          </rPr>
          <t xml:space="preserve">
**ATENÇÃO:</t>
        </r>
        <r>
          <rPr>
            <sz val="9"/>
            <color indexed="81"/>
            <rFont val="Segoe UI"/>
            <family val="2"/>
          </rPr>
          <t xml:space="preserve">
- Atualizar valor de acordo com vossa proposta!</t>
        </r>
      </text>
    </comment>
    <comment ref="H40" authorId="0" shapeId="0" xr:uid="{09F0AF66-1FCE-4D7A-ACFD-3B1EAD00EA68}">
      <text>
        <r>
          <rPr>
            <b/>
            <sz val="9"/>
            <color indexed="81"/>
            <rFont val="Segoe UI"/>
            <family val="2"/>
          </rPr>
          <t xml:space="preserve">
**ATENÇÃO:</t>
        </r>
        <r>
          <rPr>
            <sz val="9"/>
            <color indexed="81"/>
            <rFont val="Segoe UI"/>
            <family val="2"/>
          </rPr>
          <t xml:space="preserve">
- Atualizar valor de acordo com vossa proposta!</t>
        </r>
      </text>
    </comment>
    <comment ref="H47" authorId="0" shapeId="0" xr:uid="{611D1997-9ADF-47BF-9D71-0F727C5F750D}">
      <text>
        <r>
          <rPr>
            <b/>
            <sz val="9"/>
            <color indexed="81"/>
            <rFont val="Segoe UI"/>
            <family val="2"/>
          </rPr>
          <t xml:space="preserve">
**ATENÇÃO:</t>
        </r>
        <r>
          <rPr>
            <sz val="9"/>
            <color indexed="81"/>
            <rFont val="Segoe UI"/>
            <family val="2"/>
          </rPr>
          <t xml:space="preserve">
- Atualizar valor de acordo com vossa proposta!</t>
        </r>
      </text>
    </comment>
    <comment ref="H54" authorId="0" shapeId="0" xr:uid="{A2430450-FBE0-4389-8304-38986833FDBC}">
      <text>
        <r>
          <rPr>
            <b/>
            <sz val="9"/>
            <color indexed="81"/>
            <rFont val="Segoe UI"/>
            <family val="2"/>
          </rPr>
          <t xml:space="preserve">
**ATENÇÃO:</t>
        </r>
        <r>
          <rPr>
            <sz val="9"/>
            <color indexed="81"/>
            <rFont val="Segoe UI"/>
            <family val="2"/>
          </rPr>
          <t xml:space="preserve">
- Atualizar valor de acordo com vossa proposta!</t>
        </r>
      </text>
    </comment>
    <comment ref="E61" authorId="0" shapeId="0" xr:uid="{B8F4209C-603C-4476-ADCD-469F1DB8AF0B}">
      <text>
        <r>
          <rPr>
            <sz val="9"/>
            <color indexed="81"/>
            <rFont val="Segoe UI"/>
            <family val="2"/>
          </rPr>
          <t>Quantidade de Postos de Serviços contratados.</t>
        </r>
      </text>
    </comment>
    <comment ref="H61" authorId="0" shapeId="0" xr:uid="{084DAB7F-C683-4EE2-9C0A-A602439FD9FB}">
      <text>
        <r>
          <rPr>
            <b/>
            <sz val="9"/>
            <color indexed="81"/>
            <rFont val="Segoe UI"/>
            <family val="2"/>
          </rPr>
          <t xml:space="preserve">
**ATENÇÃO:</t>
        </r>
        <r>
          <rPr>
            <sz val="9"/>
            <color indexed="81"/>
            <rFont val="Segoe UI"/>
            <family val="2"/>
          </rPr>
          <t xml:space="preserve">
- Atualizar valor de acordo com vossa proposta!</t>
        </r>
      </text>
    </comment>
    <comment ref="E62" authorId="0" shapeId="0" xr:uid="{B82B9DDB-EECA-4A43-8370-989841AFEA44}">
      <text>
        <r>
          <rPr>
            <sz val="9"/>
            <color indexed="81"/>
            <rFont val="Segoe UI"/>
            <family val="2"/>
          </rPr>
          <t>Quantidade estimada para revólver calibre 38. 
Caso necessário, atualizar de acordo com o armamento orçado.</t>
        </r>
      </text>
    </comment>
    <comment ref="H62" authorId="0" shapeId="0" xr:uid="{A117B855-4A85-49CE-89B0-DDFEFC08B180}">
      <text>
        <r>
          <rPr>
            <b/>
            <sz val="9"/>
            <color indexed="81"/>
            <rFont val="Segoe UI"/>
            <family val="2"/>
          </rPr>
          <t xml:space="preserve">
**ATENÇÃO:</t>
        </r>
        <r>
          <rPr>
            <sz val="9"/>
            <color indexed="81"/>
            <rFont val="Segoe UI"/>
            <family val="2"/>
          </rPr>
          <t xml:space="preserve">
- Atualizar valor de acordo com vossa proposta!</t>
        </r>
      </text>
    </comment>
    <comment ref="H63" authorId="0" shapeId="0" xr:uid="{C0FB6CAB-8B71-46C5-9808-77E4BCB20AE8}">
      <text>
        <r>
          <rPr>
            <b/>
            <sz val="9"/>
            <color indexed="81"/>
            <rFont val="Segoe UI"/>
            <family val="2"/>
          </rPr>
          <t xml:space="preserve">
**ATENÇÃO:</t>
        </r>
        <r>
          <rPr>
            <sz val="9"/>
            <color indexed="81"/>
            <rFont val="Segoe UI"/>
            <family val="2"/>
          </rPr>
          <t xml:space="preserve">
- Atualizar valor de acordo com vossa proposta!</t>
        </r>
      </text>
    </comment>
    <comment ref="H64" authorId="0" shapeId="0" xr:uid="{F279A426-45D9-4C35-979D-7136BDE873D0}">
      <text>
        <r>
          <rPr>
            <b/>
            <sz val="9"/>
            <color indexed="81"/>
            <rFont val="Segoe UI"/>
            <family val="2"/>
          </rPr>
          <t xml:space="preserve">
**ATENÇÃO:</t>
        </r>
        <r>
          <rPr>
            <sz val="9"/>
            <color indexed="81"/>
            <rFont val="Segoe UI"/>
            <family val="2"/>
          </rPr>
          <t xml:space="preserve">
- Atualizar valor de acordo com vossa proposta!</t>
        </r>
      </text>
    </comment>
    <comment ref="H65" authorId="0" shapeId="0" xr:uid="{DE704D40-D9CC-4347-9C7A-B56B0FA16593}">
      <text>
        <r>
          <rPr>
            <b/>
            <sz val="9"/>
            <color indexed="81"/>
            <rFont val="Segoe UI"/>
            <family val="2"/>
          </rPr>
          <t xml:space="preserve">
**ATENÇÃO:</t>
        </r>
        <r>
          <rPr>
            <sz val="9"/>
            <color indexed="81"/>
            <rFont val="Segoe UI"/>
            <family val="2"/>
          </rPr>
          <t xml:space="preserve">
- Atualizar valor de acordo com vossa proposta!</t>
        </r>
      </text>
    </comment>
    <comment ref="H66" authorId="0" shapeId="0" xr:uid="{D8D85F52-262D-4F3E-BF89-349423F1C81B}">
      <text>
        <r>
          <rPr>
            <b/>
            <sz val="9"/>
            <color indexed="81"/>
            <rFont val="Segoe UI"/>
            <family val="2"/>
          </rPr>
          <t xml:space="preserve">
**ATENÇÃO:</t>
        </r>
        <r>
          <rPr>
            <sz val="9"/>
            <color indexed="81"/>
            <rFont val="Segoe UI"/>
            <family val="2"/>
          </rPr>
          <t xml:space="preserve">
- Atualizar valor de acordo com vossa proposta!</t>
        </r>
      </text>
    </comment>
    <comment ref="H67" authorId="0" shapeId="0" xr:uid="{011E3B91-6162-4C6D-8063-4DEA682216EB}">
      <text>
        <r>
          <rPr>
            <b/>
            <sz val="9"/>
            <color indexed="81"/>
            <rFont val="Segoe UI"/>
            <family val="2"/>
          </rPr>
          <t xml:space="preserve">
**ATENÇÃO:</t>
        </r>
        <r>
          <rPr>
            <sz val="9"/>
            <color indexed="81"/>
            <rFont val="Segoe UI"/>
            <family val="2"/>
          </rPr>
          <t xml:space="preserve">
- Atualizar valor de acordo com vossa proposta!</t>
        </r>
      </text>
    </comment>
    <comment ref="H68" authorId="0" shapeId="0" xr:uid="{3986AB78-7364-4776-9A69-FB7473DF23D8}">
      <text>
        <r>
          <rPr>
            <b/>
            <sz val="9"/>
            <color indexed="81"/>
            <rFont val="Segoe UI"/>
            <family val="2"/>
          </rPr>
          <t xml:space="preserve">
**ATENÇÃO:</t>
        </r>
        <r>
          <rPr>
            <sz val="9"/>
            <color indexed="81"/>
            <rFont val="Segoe UI"/>
            <family val="2"/>
          </rPr>
          <t xml:space="preserve">
- Atualizar valor de acordo com vossa proposta!</t>
        </r>
      </text>
    </comment>
    <comment ref="H69" authorId="0" shapeId="0" xr:uid="{558C2E84-8BBA-4D01-B817-70708926A296}">
      <text>
        <r>
          <rPr>
            <b/>
            <sz val="9"/>
            <color indexed="81"/>
            <rFont val="Segoe UI"/>
            <family val="2"/>
          </rPr>
          <t xml:space="preserve">
**ATENÇÃO:</t>
        </r>
        <r>
          <rPr>
            <sz val="9"/>
            <color indexed="81"/>
            <rFont val="Segoe UI"/>
            <family val="2"/>
          </rPr>
          <t xml:space="preserve">
- Atualizar valor de acordo com vossa proposta!</t>
        </r>
      </text>
    </comment>
    <comment ref="H70" authorId="0" shapeId="0" xr:uid="{F5DF19DD-FAF1-4653-A536-C13C6F217E1D}">
      <text>
        <r>
          <rPr>
            <b/>
            <sz val="9"/>
            <color indexed="81"/>
            <rFont val="Segoe UI"/>
            <family val="2"/>
          </rPr>
          <t xml:space="preserve">
**ATENÇÃO:</t>
        </r>
        <r>
          <rPr>
            <sz val="9"/>
            <color indexed="81"/>
            <rFont val="Segoe UI"/>
            <family val="2"/>
          </rPr>
          <t xml:space="preserve">
- Atualizar valor de acordo com vossa proposta!</t>
        </r>
      </text>
    </comment>
    <comment ref="H71" authorId="0" shapeId="0" xr:uid="{D91740E4-DEE8-4FED-B8E5-FF7B3F372AF8}">
      <text>
        <r>
          <rPr>
            <b/>
            <sz val="9"/>
            <color indexed="81"/>
            <rFont val="Segoe UI"/>
            <family val="2"/>
          </rPr>
          <t xml:space="preserve">
**ATENÇÃO:</t>
        </r>
        <r>
          <rPr>
            <sz val="9"/>
            <color indexed="81"/>
            <rFont val="Segoe UI"/>
            <family val="2"/>
          </rPr>
          <t xml:space="preserve">
- Atualizar valor de acordo com vossa proposta!</t>
        </r>
      </text>
    </comment>
    <comment ref="H72" authorId="0" shapeId="0" xr:uid="{0F940B07-7EE4-4ECD-BD5E-5EDFD1205526}">
      <text>
        <r>
          <rPr>
            <b/>
            <sz val="9"/>
            <color indexed="81"/>
            <rFont val="Segoe UI"/>
            <family val="2"/>
          </rPr>
          <t xml:space="preserve">
**ATENÇÃO:</t>
        </r>
        <r>
          <rPr>
            <sz val="9"/>
            <color indexed="81"/>
            <rFont val="Segoe UI"/>
            <family val="2"/>
          </rPr>
          <t xml:space="preserve">
- Atualizar valor de acordo com vossa proposta!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xml:space="preserve"> </author>
    <author>Thiago Crystian Matozo</author>
  </authors>
  <commentList>
    <comment ref="E15" authorId="0" shapeId="0" xr:uid="{137D4B3B-68A7-4356-A536-568B60AC5595}">
      <text>
        <r>
          <rPr>
            <sz val="9"/>
            <color indexed="8"/>
            <rFont val="Tahoma"/>
            <charset val="1"/>
          </rPr>
          <t xml:space="preserve">Local da prestação dos serviços
</t>
        </r>
      </text>
    </comment>
    <comment ref="E16" authorId="1" shapeId="0" xr:uid="{05DE206B-6A72-4B0C-B4BC-2E8C8D3FD7CD}">
      <text>
        <r>
          <rPr>
            <sz val="9"/>
            <color indexed="81"/>
            <rFont val="Segoe UI"/>
            <family val="2"/>
          </rPr>
          <t>Arquivo "CCT Vigilantes" na íntegra consta na aba "VII" desta planilha.</t>
        </r>
      </text>
    </comment>
    <comment ref="E17" authorId="0" shapeId="0" xr:uid="{83622D82-FFE1-4B25-A03E-2CB7E92FA87E}">
      <text>
        <r>
          <rPr>
            <sz val="9"/>
            <color indexed="8"/>
            <rFont val="Tahoma"/>
            <charset val="1"/>
          </rPr>
          <t>Número de meses previstos inicialmente para a execução do contrato.</t>
        </r>
      </text>
    </comment>
    <comment ref="E18" authorId="1" shapeId="0" xr:uid="{449954B4-2A71-40F8-AC42-344B708A211F}">
      <text>
        <r>
          <rPr>
            <sz val="9"/>
            <color indexed="81"/>
            <rFont val="Segoe UI"/>
            <family val="2"/>
          </rPr>
          <t>CONVENÇÃO COLETIVA DE TRABALHO - CCT 2024/2026
CATEGORIA: VIGILANTES</t>
        </r>
      </text>
    </comment>
  </commentList>
</comments>
</file>

<file path=xl/sharedStrings.xml><?xml version="1.0" encoding="utf-8"?>
<sst xmlns="http://schemas.openxmlformats.org/spreadsheetml/2006/main" count="1709" uniqueCount="481">
  <si>
    <t>ANEXO III</t>
  </si>
  <si>
    <t>PLANILHA DE CUSTOS E FORMAÇÃO DE PREÇOS</t>
  </si>
  <si>
    <t>Regime Tributário</t>
  </si>
  <si>
    <t>Nº Processo</t>
  </si>
  <si>
    <t>Fator divisão - Base Cálculo</t>
  </si>
  <si>
    <t>Licitação nº</t>
  </si>
  <si>
    <t>DISCRIMINAÇÃO DOS SERVIÇOS (DADOS REFERENTES À CONTRATAÇÃO)</t>
  </si>
  <si>
    <t>A</t>
  </si>
  <si>
    <t>Data de apresentação da proposta (dia/mês/ano)</t>
  </si>
  <si>
    <t>B</t>
  </si>
  <si>
    <t>Município/UF</t>
  </si>
  <si>
    <t>C</t>
  </si>
  <si>
    <t>Ano, Acordo, Convenção ou Sentença Normativa em Dissídio Coletivo</t>
  </si>
  <si>
    <t>D</t>
  </si>
  <si>
    <t>Nº de meses de execução contratual</t>
  </si>
  <si>
    <t>IDENTIFICAÇÃO DO SERVIÇO</t>
  </si>
  <si>
    <t>Tipo de Serviço</t>
  </si>
  <si>
    <t>Unidade de Medida</t>
  </si>
  <si>
    <t>Quantidade (total) a contratar (em função da unidade de medida)</t>
  </si>
  <si>
    <t>Vigilante (44h/semana)</t>
  </si>
  <si>
    <t>Posto de serviço</t>
  </si>
  <si>
    <t>ANEXO III-A</t>
  </si>
  <si>
    <t>MÃO-DE-OBRA VINCULADA À EXECUÇÃO CONTRATUAL</t>
  </si>
  <si>
    <t>Dados complementares para composição dos custos referente à mão-de-obra</t>
  </si>
  <si>
    <t>Valor (R$)</t>
  </si>
  <si>
    <t>Tipo de serviço (mesmo serviço com características distintas)</t>
  </si>
  <si>
    <t>Salário normativo da categoria profissional</t>
  </si>
  <si>
    <t>Categoria profissional (vinculada à execução contratual)</t>
  </si>
  <si>
    <t>Data base da categoria (dia/mês/ano)</t>
  </si>
  <si>
    <t>MÓDULO 1: COMPOSIÇÃO DA REMUNERAÇÃO</t>
  </si>
  <si>
    <t>Composição da Remuneração</t>
  </si>
  <si>
    <t>%</t>
  </si>
  <si>
    <t>Salário Base</t>
  </si>
  <si>
    <t>-</t>
  </si>
  <si>
    <t>Adicional de periculosidade</t>
  </si>
  <si>
    <t>Adicional de insalubridade (10%, 20% ou 40%)</t>
  </si>
  <si>
    <r>
      <rPr>
        <sz val="10"/>
        <rFont val="Arial Narrow"/>
        <family val="2"/>
      </rPr>
      <t xml:space="preserve">Adicional noturno (20% sobre a hora diurna) </t>
    </r>
    <r>
      <rPr>
        <sz val="10"/>
        <color indexed="10"/>
        <rFont val="Arial Narrow"/>
        <family val="2"/>
      </rPr>
      <t>(1h = 52'30")</t>
    </r>
  </si>
  <si>
    <t>E</t>
  </si>
  <si>
    <t>Hora noturna adicional (somente após às 05h00)
hora extra (+50%) ou hora normal +20% de adicional</t>
  </si>
  <si>
    <t>F</t>
  </si>
  <si>
    <t>Adicional de hora extra (50%)</t>
  </si>
  <si>
    <t>G</t>
  </si>
  <si>
    <t>Intervalo intrajornada (hora normal +50%)</t>
  </si>
  <si>
    <t>H</t>
  </si>
  <si>
    <t>Outros (especificar) - Conforme a CCT</t>
  </si>
  <si>
    <t>Total da Remuneração</t>
  </si>
  <si>
    <t>MÓDULO 2: BENEFÍCIOS MENSAIS E DIÁRIOS</t>
  </si>
  <si>
    <t>Benefícios Mensais e Diários</t>
  </si>
  <si>
    <r>
      <rPr>
        <sz val="10"/>
        <rFont val="Arial Narrow"/>
        <family val="2"/>
      </rPr>
      <t xml:space="preserve">Vale-transporte </t>
    </r>
    <r>
      <rPr>
        <sz val="10"/>
        <color indexed="10"/>
        <rFont val="Arial Narrow"/>
        <family val="2"/>
      </rPr>
      <t>(Valor do vale transporte x Qtde. vales por dia x Média de dias úteis no mês) - Desconto parte empregado (6% do salário básico)</t>
    </r>
  </si>
  <si>
    <r>
      <rPr>
        <sz val="10"/>
        <rFont val="Arial Narrow"/>
        <family val="2"/>
      </rPr>
      <t xml:space="preserve">Auxílio alimentação (vales, cesta básica etc) - Conforme a CCT </t>
    </r>
    <r>
      <rPr>
        <sz val="10"/>
        <color indexed="10"/>
        <rFont val="Arial Narrow"/>
        <family val="2"/>
      </rPr>
      <t>(Valor do vale alimentação diário x Média de dias úteis no mês) - Desconto parte empregado (20%)</t>
    </r>
  </si>
  <si>
    <r>
      <rPr>
        <sz val="10"/>
        <rFont val="Arial Narrow"/>
        <family val="2"/>
      </rPr>
      <t xml:space="preserve">Assistência médica e familiar </t>
    </r>
    <r>
      <rPr>
        <sz val="10"/>
        <color indexed="10"/>
        <rFont val="Arial Narrow"/>
        <family val="2"/>
      </rPr>
      <t>(Plano de saúde mensal - Desconto parte do empregado)</t>
    </r>
  </si>
  <si>
    <r>
      <rPr>
        <sz val="10"/>
        <rFont val="Arial Narrow"/>
        <family val="2"/>
      </rPr>
      <t xml:space="preserve">Auxílio creche </t>
    </r>
    <r>
      <rPr>
        <sz val="10"/>
        <color indexed="10"/>
        <rFont val="Arial Narrow"/>
        <family val="2"/>
      </rPr>
      <t>((Valor mensal do auxílio-creche x meses de concessão x Incidência de ocorrência) / Meses do ano)</t>
    </r>
  </si>
  <si>
    <r>
      <rPr>
        <sz val="10"/>
        <rFont val="Arial Narrow"/>
        <family val="2"/>
      </rPr>
      <t xml:space="preserve">Seguro de vida, invalidez e funeral </t>
    </r>
    <r>
      <rPr>
        <sz val="10"/>
        <color indexed="10"/>
        <rFont val="Arial Narrow"/>
        <family val="2"/>
      </rPr>
      <t>(Valor do seguro de vida / Meses do ano)</t>
    </r>
  </si>
  <si>
    <r>
      <rPr>
        <sz val="10"/>
        <rFont val="Arial Narrow"/>
        <family val="2"/>
      </rPr>
      <t xml:space="preserve">Outros (especificar) </t>
    </r>
    <r>
      <rPr>
        <sz val="10"/>
        <color indexed="10"/>
        <rFont val="Arial Narrow"/>
        <family val="2"/>
      </rPr>
      <t>(Auxílio-funeral) [Valor do auxílio funeral X Incidência de ocorrência) ÷ Nº de meses do ano]</t>
    </r>
  </si>
  <si>
    <t>Total de benefícios mensais e diários</t>
  </si>
  <si>
    <t>MÓDULO 3: INSUMOS DIVERSOS</t>
  </si>
  <si>
    <t>Insumos Diversos</t>
  </si>
  <si>
    <r>
      <rPr>
        <sz val="10"/>
        <rFont val="Arial Narrow"/>
        <family val="2"/>
      </rPr>
      <t xml:space="preserve">Uniformes </t>
    </r>
    <r>
      <rPr>
        <sz val="10"/>
        <color indexed="10"/>
        <rFont val="Arial Narrow"/>
        <family val="2"/>
      </rPr>
      <t>[(Valor anual do uniforme / Meses do ano) + 2% de perdas]</t>
    </r>
  </si>
  <si>
    <t>IGPM, INPC ...</t>
  </si>
  <si>
    <r>
      <rPr>
        <sz val="10"/>
        <rFont val="Arial Narrow"/>
        <family val="2"/>
      </rPr>
      <t>Materiais</t>
    </r>
    <r>
      <rPr>
        <sz val="10"/>
        <color indexed="10"/>
        <rFont val="Arial Narrow"/>
        <family val="2"/>
      </rPr>
      <t xml:space="preserve"> (Valor anual de materiais e produtos / Meses do ano)</t>
    </r>
  </si>
  <si>
    <r>
      <rPr>
        <sz val="10"/>
        <rFont val="Arial Narrow"/>
        <family val="2"/>
      </rPr>
      <t xml:space="preserve">Equipamentos </t>
    </r>
    <r>
      <rPr>
        <sz val="10"/>
        <color indexed="10"/>
        <rFont val="Arial Narrow"/>
        <family val="2"/>
      </rPr>
      <t xml:space="preserve"> (Custo dos equipamentos / Vida útil em meses)</t>
    </r>
  </si>
  <si>
    <t>Outros (espcificar)</t>
  </si>
  <si>
    <t>Total de Insumos Diversos</t>
  </si>
  <si>
    <t>MÓDULO 4: ENCARGOS SOCIAIS E TRABALHISTAS</t>
  </si>
  <si>
    <t>Submódulo 4.1 - Encargos Previdenciários e FGTS:</t>
  </si>
  <si>
    <t>4.1</t>
  </si>
  <si>
    <t>Encargos previdenciários e FGTS</t>
  </si>
  <si>
    <t>INSS</t>
  </si>
  <si>
    <t>SESI ou SESC</t>
  </si>
  <si>
    <t>SENAI ou SENAC</t>
  </si>
  <si>
    <t>INCRA</t>
  </si>
  <si>
    <t>Salário Educação</t>
  </si>
  <si>
    <t>FGTS</t>
  </si>
  <si>
    <t>Seguro acidente do trabalho (RAT X FAT) (Confirmar na GFIP)</t>
  </si>
  <si>
    <t>SEBRAE</t>
  </si>
  <si>
    <t>Total</t>
  </si>
  <si>
    <t>Submódulo 4.2 - 13º Salário e Adicional de Férias</t>
  </si>
  <si>
    <t>4.2</t>
  </si>
  <si>
    <t>13º Salário e Adicional de Férias</t>
  </si>
  <si>
    <t>13º Salário</t>
  </si>
  <si>
    <t>Adicional de Férias</t>
  </si>
  <si>
    <t>Subtotal</t>
  </si>
  <si>
    <t>Incidência do Submódulo 4.1 sobre 13º Salário e Adicional de Férias</t>
  </si>
  <si>
    <t>Submódulo 4.3 - Afastamento Maternidade</t>
  </si>
  <si>
    <t>4.3</t>
  </si>
  <si>
    <t>Afastamento Maternidade</t>
  </si>
  <si>
    <r>
      <rPr>
        <sz val="10"/>
        <rFont val="Arial Narrow"/>
        <family val="2"/>
      </rPr>
      <t>Afastamento maternidade (conforme apresentado pela empresa)</t>
    </r>
    <r>
      <rPr>
        <sz val="10"/>
        <color indexed="10"/>
        <rFont val="Arial Narrow"/>
        <family val="2"/>
      </rPr>
      <t xml:space="preserve"> {[(Remuneração + Terço Constitucional) x (Meses de afastamento por licença maternidade / Meses do ano)] / Meses do ano} x Incidência de ocorrência</t>
    </r>
  </si>
  <si>
    <t>Incidência do submódulo 4.1 sobre afastamento maternidade</t>
  </si>
  <si>
    <t>B.1</t>
  </si>
  <si>
    <t>Incidência do submódulo 4.1 sobre a remuneração e 13º salário recebido pelo substituto durante os 120 dias de licença-maternidade</t>
  </si>
  <si>
    <t>Submódulo 4.4 - Provisão para Recisão</t>
  </si>
  <si>
    <t>4.4</t>
  </si>
  <si>
    <t>Provisão para Recisão (conforme apresentado pela empresa)</t>
  </si>
  <si>
    <r>
      <rPr>
        <sz val="10"/>
        <rFont val="Arial Narrow"/>
        <family val="2"/>
      </rPr>
      <t xml:space="preserve">Aviso prévio indenizado </t>
    </r>
    <r>
      <rPr>
        <sz val="10"/>
        <color indexed="10"/>
        <rFont val="Arial Narrow"/>
        <family val="2"/>
      </rPr>
      <t>[(Remuneração / meses do ano) x Percentual de dispensa sem justa causa com aviso prévio indenizado]</t>
    </r>
  </si>
  <si>
    <t>Incidência do FGTS sobre aviso prévio indenizado</t>
  </si>
  <si>
    <r>
      <rPr>
        <sz val="10"/>
        <rFont val="Arial Narrow"/>
        <family val="2"/>
      </rPr>
      <t xml:space="preserve">Multa do FGTS </t>
    </r>
    <r>
      <rPr>
        <sz val="10"/>
        <color indexed="10"/>
        <rFont val="Arial Narrow"/>
        <family val="2"/>
      </rPr>
      <t xml:space="preserve">(e CS) </t>
    </r>
    <r>
      <rPr>
        <sz val="10"/>
        <rFont val="Arial Narrow"/>
        <family val="2"/>
      </rPr>
      <t xml:space="preserve">sobre aviso prévio indenizado </t>
    </r>
    <r>
      <rPr>
        <sz val="10"/>
        <color indexed="10"/>
        <rFont val="Arial Narrow"/>
        <family val="2"/>
      </rPr>
      <t>[(Remuneração x (Multa FGTS (40%) + Contribuição Social (10%)) x Percentual de recolhimento FGTS (8%) x Percentual de dispensa sem justa causa com aviso prévio indenizado (v. alínea A)]</t>
    </r>
  </si>
  <si>
    <r>
      <rPr>
        <sz val="10"/>
        <rFont val="Arial Narrow"/>
        <family val="2"/>
      </rPr>
      <t xml:space="preserve">Aviso prévio trabalhado </t>
    </r>
    <r>
      <rPr>
        <sz val="10"/>
        <color indexed="10"/>
        <rFont val="Arial Narrow"/>
        <family val="2"/>
      </rPr>
      <t xml:space="preserve"> {[(Remuneração / Mês (30) / Meses do ano (12)] x 7 dias de redução da jurnada} x Percentual de dispensa sem justa causa com aviso prévio trabalhado</t>
    </r>
  </si>
  <si>
    <t>Incidência do submódulo 4.1 sobre aviso prévio trabalhado</t>
  </si>
  <si>
    <r>
      <rPr>
        <sz val="10"/>
        <rFont val="Arial Narrow"/>
        <family val="2"/>
      </rPr>
      <t xml:space="preserve">Multa do FGTS </t>
    </r>
    <r>
      <rPr>
        <sz val="10"/>
        <color indexed="10"/>
        <rFont val="Arial Narrow"/>
        <family val="2"/>
      </rPr>
      <t xml:space="preserve">(e CS) </t>
    </r>
    <r>
      <rPr>
        <sz val="10"/>
        <rFont val="Arial Narrow"/>
        <family val="2"/>
      </rPr>
      <t xml:space="preserve">sobre aviso prévio trabalhado </t>
    </r>
    <r>
      <rPr>
        <sz val="10"/>
        <color indexed="10"/>
        <rFont val="Arial Narrow"/>
        <family val="2"/>
      </rPr>
      <t>[(Remuneração x (Multa FGTS (40%) + Contribuição Social (10%)) x Percentual de recolhimento FGTS (8%) x Percentual de dispensa sem justa causa com aviso prévio trabalhado (v. alínea D)]</t>
    </r>
  </si>
  <si>
    <t>Submódulo 4.5 - Custo de Reposição do profissional Ausente</t>
  </si>
  <si>
    <t>4.5</t>
  </si>
  <si>
    <t>Composição do Custo de Reposição do Profissional Ausente</t>
  </si>
  <si>
    <t>Férias</t>
  </si>
  <si>
    <t>Ausência por doença</t>
  </si>
  <si>
    <t>Licença paternidade</t>
  </si>
  <si>
    <t>Ausências legais</t>
  </si>
  <si>
    <t>Ausência por acidente de trabalho</t>
  </si>
  <si>
    <t>Outros (especificar)</t>
  </si>
  <si>
    <t>Incidência do submódulo 4.1 sobre o Custo de Reposição</t>
  </si>
  <si>
    <t>QUADRO RESUMO - MÓDULO 4: ENCARGOS SOCIAIS E TRABALHISTAS</t>
  </si>
  <si>
    <t>Módulo 4 - Encargos Sociais e Trabalhistas</t>
  </si>
  <si>
    <t>13º Salário + Adicional de férias</t>
  </si>
  <si>
    <t>Afastamento maternidade</t>
  </si>
  <si>
    <t>Custo de recisão</t>
  </si>
  <si>
    <t>Custo de reposição do profissional ausente</t>
  </si>
  <si>
    <t>4.6</t>
  </si>
  <si>
    <t>(M-T) Custo Total da Planilha (Faturamento) pra Efeito de Cálculo do Módulo 5</t>
  </si>
  <si>
    <t>MÓDULO 5 - CUSTOS INDIRETOS, TRIBUTOS E LUCRO</t>
  </si>
  <si>
    <t>Custos Indiretos, Tributos e Lucro</t>
  </si>
  <si>
    <t>Custos Indiretos (percentual máximo de 6%)</t>
  </si>
  <si>
    <t>Tributos</t>
  </si>
  <si>
    <t>B1. Tributos Federais</t>
  </si>
  <si>
    <t>B1-A PIS (Regra Geral: Lucro Presumido: 0,65%; Lucro Real: 1,65%; Simples: 0,44%)</t>
  </si>
  <si>
    <t>B1-B COFINS (Regra Geral: Lucro Presumido: 3%; Lucro Real: 7,6%; Simples: 2,35%)</t>
  </si>
  <si>
    <t>B1-C</t>
  </si>
  <si>
    <t>B1-D</t>
  </si>
  <si>
    <t>B2. Tributos Estaduais</t>
  </si>
  <si>
    <t>B2-A</t>
  </si>
  <si>
    <t>B2-B</t>
  </si>
  <si>
    <t>B2-C</t>
  </si>
  <si>
    <t>B2-D</t>
  </si>
  <si>
    <t>B3. Tributos Municipais</t>
  </si>
  <si>
    <t>B3-A ISS (Regra geral: 5%)</t>
  </si>
  <si>
    <t>B3-B</t>
  </si>
  <si>
    <t>B3-C</t>
  </si>
  <si>
    <t>B3-D</t>
  </si>
  <si>
    <t>B4. Outros Tributos</t>
  </si>
  <si>
    <t>B4-A</t>
  </si>
  <si>
    <t>B4-B</t>
  </si>
  <si>
    <t>B4-C</t>
  </si>
  <si>
    <t>B4-D</t>
  </si>
  <si>
    <r>
      <rPr>
        <b/>
        <sz val="10"/>
        <rFont val="Arial Narrow"/>
        <family val="2"/>
      </rPr>
      <t xml:space="preserve">Lucro </t>
    </r>
    <r>
      <rPr>
        <b/>
        <sz val="10"/>
        <color indexed="10"/>
        <rFont val="Arial Narrow"/>
        <family val="2"/>
      </rPr>
      <t>(percentual máximo de 6,79%)</t>
    </r>
  </si>
  <si>
    <t>Total dos Custos Indiretos, Tributos e Lucro</t>
  </si>
  <si>
    <t>ANEXO III - B - QUADRO-RESUMO DO CUSTO POR EMPREGADO</t>
  </si>
  <si>
    <t>Mão-de-obra vinculada à execução contratual (valor por empregado)</t>
  </si>
  <si>
    <t>Módulo 1 - Composição da Remuneração</t>
  </si>
  <si>
    <t>Módulo 2 - Benefícios Mensais e Diários</t>
  </si>
  <si>
    <t>Módulo 3 - Insumos Diversos (uniformes, materiais, equipamentos e outros)</t>
  </si>
  <si>
    <t>Móduloo 5 - Custos indiretos, tributos e lucro</t>
  </si>
  <si>
    <t>Valor Total por Empregado</t>
  </si>
  <si>
    <t>Fator "K"</t>
  </si>
  <si>
    <t>Fórmula de Cálculos com base na CCT 2013/2015 do SINDESP/RN x SINDSEGUR/RN - Reg. MTE nº RN000192/2013</t>
  </si>
  <si>
    <t>Valor da Hora Normal (Salário + Risco de vida) / 220</t>
  </si>
  <si>
    <t>Valor da Hora Extra a 50% (Hora Normal x 1,5)</t>
  </si>
  <si>
    <t>Dias por mês (365,25 / 12)</t>
  </si>
  <si>
    <t>Valor do Adicional Noturno (Hora normal x 20%)</t>
  </si>
  <si>
    <t>Domingos por mês (30,44/7)</t>
  </si>
  <si>
    <t>Dias não úteis por mês (domingos + 1 feriado)</t>
  </si>
  <si>
    <t>Dias úteis por mês</t>
  </si>
  <si>
    <t>Descrição</t>
  </si>
  <si>
    <t>Base de Cálculo</t>
  </si>
  <si>
    <t>Unidade</t>
  </si>
  <si>
    <t>Quant.</t>
  </si>
  <si>
    <t>Custo unitário</t>
  </si>
  <si>
    <t>Valor</t>
  </si>
  <si>
    <t>1) Salário normativo</t>
  </si>
  <si>
    <t>Conforme CCT</t>
  </si>
  <si>
    <t>Salário/mês</t>
  </si>
  <si>
    <t>2) Risco de vida (periculosidade)</t>
  </si>
  <si>
    <t>Percentual</t>
  </si>
  <si>
    <t>2.a) Insalubridade)</t>
  </si>
  <si>
    <t>Conforme local de trabalho (Laudo específico)</t>
  </si>
  <si>
    <t>SUBTOTAL</t>
  </si>
  <si>
    <t>3) Intrajornada</t>
  </si>
  <si>
    <r>
      <rPr>
        <sz val="10"/>
        <rFont val="Arial Narrow"/>
        <family val="2"/>
      </rPr>
      <t xml:space="preserve">Valor da Hora Normal = (Salário + Risco de vida) / 220
Hora normal = (R$ 966,53 + R$ 193,31) / 220 = R$ 5,27
Valor da Hora Extra a 50% = R$ 5,27 x 1,5 = R$ 7,91
Dias trabalhados no mês = 365,25 / 12 = 30,44 / 2 = 15,22 dias
Horas trabalhadas por dia = 1 hora
</t>
    </r>
    <r>
      <rPr>
        <b/>
        <sz val="10"/>
        <rFont val="Arial Narrow"/>
        <family val="2"/>
      </rPr>
      <t>Resumo: 1 hora x 15,22 dias x R$ 7,91</t>
    </r>
  </si>
  <si>
    <t>Hora</t>
  </si>
  <si>
    <t>4) Adicional Noturno</t>
  </si>
  <si>
    <r>
      <rPr>
        <sz val="10"/>
        <rFont val="Arial Narrow"/>
        <family val="2"/>
      </rPr>
      <t xml:space="preserve">Valor da Hora Normal = (Salário + Risco de vida) / 220
Hora normal = (R$ 966,53 + R$ 193,31) / 220 = R$ 5,27
Valor do Adicional Noturno a 20% = R$ 5,27 x 20% = R$ 1,05
Horas trabalhadas por noite (22h a 5h) = 7 horas
Intervalo intrajornada por noite = 1 hora
Jornada Reduzida por noite = 8h / 52min30seg x 60min = 1,14 hora
Total de horas noturnas por noite = 7h + 1h + 1,14h = 9,14 horas
</t>
    </r>
    <r>
      <rPr>
        <b/>
        <sz val="10"/>
        <rFont val="Arial Narrow"/>
        <family val="2"/>
      </rPr>
      <t>Resumo: 9,14 horas x 15,22 dias x R$ 1,05</t>
    </r>
  </si>
  <si>
    <t>5) Jornada reduzida noturna</t>
  </si>
  <si>
    <r>
      <rPr>
        <sz val="10"/>
        <rFont val="Arial Narrow"/>
        <family val="2"/>
      </rPr>
      <t xml:space="preserve">Jornada Reduzida por noite = 8h / 52min30seg = 9,14 hora
Horas trabalhadas - horas normais = 9,14 horas - 8 horas = 1,14h
</t>
    </r>
    <r>
      <rPr>
        <b/>
        <sz val="10"/>
        <rFont val="Arial Narrow"/>
        <family val="2"/>
      </rPr>
      <t>Resumo: 1,14 horas x 15,22 x R$ 7,91</t>
    </r>
  </si>
  <si>
    <t>6) Dobra</t>
  </si>
  <si>
    <r>
      <rPr>
        <sz val="10"/>
        <rFont val="Arial Narrow"/>
        <family val="2"/>
      </rPr>
      <t xml:space="preserve">1 feriado/mês x 14,14 horas / 2 vigilantes = 7,07 horas por vigilante
7h (18 às 22h e das 5 às 6h) + 7,14 (22 às 5h, reduzida p/ 52min30seg)
Adicional Dobra 100% = R$ 5,27 x 100% = R$ 5,27
</t>
    </r>
    <r>
      <rPr>
        <b/>
        <sz val="10"/>
        <rFont val="Arial Narrow"/>
        <family val="2"/>
      </rPr>
      <t>Resumo: 7,07 horas x R$ 5,27</t>
    </r>
  </si>
  <si>
    <r>
      <rPr>
        <sz val="10"/>
        <rFont val="Arial Narrow"/>
        <family val="2"/>
      </rPr>
      <t xml:space="preserve">7) Reflexo sobre DSR (Descanso Semanal Remunerado) - </t>
    </r>
    <r>
      <rPr>
        <sz val="10"/>
        <color indexed="10"/>
        <rFont val="Arial Narrow"/>
        <family val="2"/>
      </rPr>
      <t>Suspenso por decisão do TCU - Ac 1293/2010-2Cam</t>
    </r>
  </si>
  <si>
    <t>Reflexo sobre DSR = ((Intrajornada + Ad. Noturno + Jorn. Reduzida) / Dias úteis) x Domingos e feriados
Dias do mês: 365,25 / 12 = 30,44 dias
Domingos e Feriados = 4,35 + 1 = 5,35
Dias úteis = 30,44 - 5,35 = 25,09</t>
  </si>
  <si>
    <t>Dom/Fer</t>
  </si>
  <si>
    <t>8) Reciclagem</t>
  </si>
  <si>
    <t>50 horas x R$ 7,91 = R$ 395,50 / 24 meses = R$ 16,48 / 180 h = R$ 0,09</t>
  </si>
  <si>
    <t>TOTAL POR VIGILANTE</t>
  </si>
  <si>
    <t>Vigilantes por Posto</t>
  </si>
  <si>
    <t>TOTAL POR POSTO</t>
  </si>
  <si>
    <t>Dados da empresa (Razão Social):</t>
  </si>
  <si>
    <t>CNPJ:</t>
  </si>
  <si>
    <t xml:space="preserve">Licitação: Pregão Eletrônico nº </t>
  </si>
  <si>
    <t>CCT</t>
  </si>
  <si>
    <t>Quantidade (total) a contratar</t>
  </si>
  <si>
    <t>Posto (empregado por posto de trabalho)</t>
  </si>
  <si>
    <t>Produtividade / Quantidade</t>
  </si>
  <si>
    <t>Jornada de Trabalho 12 x 36, marque um "X"</t>
  </si>
  <si>
    <t>X</t>
  </si>
  <si>
    <t>DESCRIÇÃO</t>
  </si>
  <si>
    <t>Classificação Brasileira de Ocupações (CBO)</t>
  </si>
  <si>
    <t>5173-30</t>
  </si>
  <si>
    <r>
      <rPr>
        <sz val="10"/>
        <rFont val="Arial Narrow"/>
        <family val="2"/>
      </rPr>
      <t xml:space="preserve">Salário normativo da categoria profissional </t>
    </r>
    <r>
      <rPr>
        <sz val="10"/>
        <color indexed="10"/>
        <rFont val="Arial Narrow"/>
        <family val="2"/>
      </rPr>
      <t>(v. CCT)</t>
    </r>
  </si>
  <si>
    <t>VALORES</t>
  </si>
  <si>
    <r>
      <rPr>
        <sz val="10"/>
        <rFont val="Arial Narrow"/>
        <family val="2"/>
      </rPr>
      <t xml:space="preserve">Salário Base </t>
    </r>
    <r>
      <rPr>
        <sz val="10"/>
        <color indexed="10"/>
        <rFont val="Arial Narrow"/>
        <family val="2"/>
      </rPr>
      <t>(no mínimo o previsto na CCT vigente na data considerada)</t>
    </r>
  </si>
  <si>
    <r>
      <rPr>
        <sz val="10"/>
        <rFont val="Arial Narrow"/>
        <family val="2"/>
      </rPr>
      <t>Adicional de periculosidade</t>
    </r>
    <r>
      <rPr>
        <sz val="10"/>
        <color indexed="10"/>
        <rFont val="Arial Narrow"/>
        <family val="2"/>
      </rPr>
      <t xml:space="preserve"> (Informar o percentual aplicável, se for o caso, conforme CCT)</t>
    </r>
  </si>
  <si>
    <r>
      <rPr>
        <sz val="10"/>
        <rFont val="Arial Narrow"/>
        <family val="2"/>
      </rPr>
      <t xml:space="preserve">Adicional de insalubridade </t>
    </r>
    <r>
      <rPr>
        <sz val="10"/>
        <color indexed="10"/>
        <rFont val="Arial Narrow"/>
        <family val="2"/>
      </rPr>
      <t xml:space="preserve"> (Informar o percentual aplicável, se for o caso)</t>
    </r>
  </si>
  <si>
    <t>Adicional noturno</t>
  </si>
  <si>
    <t>Adicional de Hora Noturna Reduzida</t>
  </si>
  <si>
    <t>Outros (especificar):</t>
  </si>
  <si>
    <t>MÓDULO 2: ENCARGOS E BENEFÍCIOS ANUAIS, MENSAIS E DIÁRIOS</t>
  </si>
  <si>
    <t>Submódulo 2.1 - 13º Salário, Férias e Adicional de Férias</t>
  </si>
  <si>
    <t>2.1</t>
  </si>
  <si>
    <t>13º Salário, Férias e Adicional de Férias</t>
  </si>
  <si>
    <t>13º Salário (1/12)</t>
  </si>
  <si>
    <r>
      <rPr>
        <sz val="10"/>
        <color indexed="10"/>
        <rFont val="Arial Narrow"/>
        <family val="2"/>
      </rPr>
      <t>Férias (1/12)</t>
    </r>
    <r>
      <rPr>
        <sz val="10"/>
        <rFont val="Arial Narrow"/>
        <family val="2"/>
      </rPr>
      <t xml:space="preserve"> e Adicional de Férias (1/36)</t>
    </r>
  </si>
  <si>
    <t>Submódulo 2.2 - Encargos Previdenciários (GPS), Fundo de Garantia por Tempo de Serviço (FGTS) e outras contribuições.</t>
  </si>
  <si>
    <t>Base cálculo 
(M 1 + SM 2.1)</t>
  </si>
  <si>
    <t>2.2</t>
  </si>
  <si>
    <t>GPS, FGTS e outras contribuições</t>
  </si>
  <si>
    <t>(Empresa beneficiária da Desoneração da Folha - Substituído pela CPRB - Lei 13.670/2018)</t>
  </si>
  <si>
    <r>
      <rPr>
        <sz val="10"/>
        <rFont val="Arial Narrow"/>
        <family val="2"/>
      </rPr>
      <t>SAT - Seguro Acidente do Trabalho</t>
    </r>
    <r>
      <rPr>
        <sz val="10"/>
        <color indexed="10"/>
        <rFont val="Arial Narrow"/>
        <family val="2"/>
      </rPr>
      <t xml:space="preserve"> (RAT X FAP = RAT AJUSTADO) (Confirmar na GFIP)</t>
    </r>
  </si>
  <si>
    <t>SESC ou SESI</t>
  </si>
  <si>
    <t>SENAI - SENAC</t>
  </si>
  <si>
    <t>Submódulo 2.3 - Benefícios Mensais e Diários</t>
  </si>
  <si>
    <t>2.3</t>
  </si>
  <si>
    <t>Qtde Vales/mês</t>
  </si>
  <si>
    <t>Preço do vale</t>
  </si>
  <si>
    <r>
      <rPr>
        <sz val="10"/>
        <rFont val="Arial Narrow"/>
        <family val="2"/>
      </rPr>
      <t>Auxílio Refeição / alimentação (vales, cesta básica etc)</t>
    </r>
    <r>
      <rPr>
        <sz val="10"/>
        <color indexed="10"/>
        <rFont val="Arial Narrow"/>
        <family val="2"/>
      </rPr>
      <t xml:space="preserve"> - </t>
    </r>
    <r>
      <rPr>
        <b/>
        <sz val="10"/>
        <color indexed="10"/>
        <rFont val="Arial Narrow"/>
        <family val="2"/>
      </rPr>
      <t>Conforme a CCT</t>
    </r>
    <r>
      <rPr>
        <sz val="10"/>
        <color indexed="10"/>
        <rFont val="Arial Narrow"/>
        <family val="2"/>
      </rPr>
      <t xml:space="preserve"> (Valor do vale alimentação mensal - Desconto parte empregado (ex: 20%))</t>
    </r>
  </si>
  <si>
    <t>Valor mensal</t>
  </si>
  <si>
    <t>Desconto (%)</t>
  </si>
  <si>
    <r>
      <rPr>
        <sz val="10"/>
        <rFont val="Arial Narrow"/>
        <family val="2"/>
      </rPr>
      <t xml:space="preserve">Assistência médica e familiar </t>
    </r>
    <r>
      <rPr>
        <sz val="10"/>
        <color indexed="10"/>
        <rFont val="Arial Narrow"/>
        <family val="2"/>
      </rPr>
      <t>- Conforme a CCT  (Plano de saúde mensal - Desconto parte do empregado)</t>
    </r>
  </si>
  <si>
    <t>Intervalo Intrajornada (não usufruído pelo empregado)</t>
  </si>
  <si>
    <t>Outros:</t>
  </si>
  <si>
    <t>Quadro-Resumo do Módulo 2 - Encargos e Benefícios anuais, mensais e diários</t>
  </si>
  <si>
    <t>Encargos e Benefícios anuais, mensais e diários</t>
  </si>
  <si>
    <t>MÓDULO 3 - PROVISÃO PARA RESCISÃO</t>
  </si>
  <si>
    <t>Provisão para Recisão (Alterado pela IN 07/2018)</t>
  </si>
  <si>
    <t xml:space="preserve">Aviso Prévio Indenizado </t>
  </si>
  <si>
    <t>Incidência do FGTS sobre o Aviso Prévio Indenizado (8% x 7,46)</t>
  </si>
  <si>
    <t>Multa do FGTS e Contribuição Social sobre o Aviso Prévio Indenizado</t>
  </si>
  <si>
    <t xml:space="preserve">Aviso Prévio Trabalhado </t>
  </si>
  <si>
    <t>Incidência de GPS, FGTS e outras contribuições sobre o Aviso Prévio Trabalhado (36,8% x 34,74)</t>
  </si>
  <si>
    <t>Multa do FGTS e Contribuição Social sobre o Aviso Prévio Trabalhado</t>
  </si>
  <si>
    <t>MÓDULO 4 - CUSTO DE REPOSIÇÃO DO PROFISSIONAL AUSENTE</t>
  </si>
  <si>
    <t>Submódulo 4.1 - Substituto nas Ausências Legais</t>
  </si>
  <si>
    <t>Base cálculo 
(M 1 + M 2 + M 3)</t>
  </si>
  <si>
    <t>Substituto nas Ausências legais</t>
  </si>
  <si>
    <t>Ocorrência</t>
  </si>
  <si>
    <r>
      <rPr>
        <sz val="10"/>
        <rFont val="Arial Narrow"/>
        <family val="2"/>
      </rPr>
      <t>Substituto na cobertura de Férias</t>
    </r>
    <r>
      <rPr>
        <sz val="10"/>
        <color indexed="12"/>
        <rFont val="Arial Narrow"/>
        <family val="2"/>
      </rPr>
      <t xml:space="preserve"> (provisionamente de 1/12 do valor dos módulos anteriores)</t>
    </r>
  </si>
  <si>
    <t>Substituto na cobertura de Ausências legais</t>
  </si>
  <si>
    <t>Substituto na cobertura de Licença-Paternidade</t>
  </si>
  <si>
    <t>Substituto na cobertura de Ausência por acidente de trabalho</t>
  </si>
  <si>
    <t>Substituto na cobertura de Afastamento Maternidade</t>
  </si>
  <si>
    <t>Substituto na cobertura de Outras ausências (cursos)</t>
  </si>
  <si>
    <t>Submódulo 4.2 - Substituto na Intrajornada</t>
  </si>
  <si>
    <t>Substituto na Intrajornada</t>
  </si>
  <si>
    <r>
      <rPr>
        <sz val="10"/>
        <rFont val="Arial Narrow"/>
        <family val="2"/>
      </rPr>
      <t>Substituto na cobertura de Intervalo para repouso ou alimentação</t>
    </r>
    <r>
      <rPr>
        <sz val="10"/>
        <color indexed="10"/>
        <rFont val="Arial Narrow"/>
        <family val="2"/>
      </rPr>
      <t xml:space="preserve"> (Este item depende do Submódulo 2.3, D: ou um ou outro).</t>
    </r>
  </si>
  <si>
    <t>Quadro-Resumo do Módulo 4 - Custo de Reposição do Profissional Ausente</t>
  </si>
  <si>
    <t>MÓDULO 5: INSUMOS DIVERSOS</t>
  </si>
  <si>
    <t>Exames admissionais, periódico e demissionais</t>
  </si>
  <si>
    <t>MÓDULO 6 - CUSTOS INDIRETOS, TRIBUTOS E LUCRO</t>
  </si>
  <si>
    <r>
      <rPr>
        <b/>
        <sz val="10"/>
        <rFont val="Arial Narrow"/>
        <family val="2"/>
      </rPr>
      <t>Custos Indiretos</t>
    </r>
    <r>
      <rPr>
        <sz val="10"/>
        <rFont val="Arial Narrow"/>
        <family val="2"/>
      </rPr>
      <t xml:space="preserve"> </t>
    </r>
    <r>
      <rPr>
        <sz val="10"/>
        <color indexed="10"/>
        <rFont val="Arial Narrow"/>
        <family val="2"/>
      </rPr>
      <t>(média praticada pelas empresas do setor) (Base de Cálculo: M1 + M2 + M3 + M4 + M5)</t>
    </r>
  </si>
  <si>
    <r>
      <rPr>
        <b/>
        <sz val="10"/>
        <rFont val="Arial Narrow"/>
        <family val="2"/>
      </rPr>
      <t>Lucro</t>
    </r>
    <r>
      <rPr>
        <sz val="10"/>
        <rFont val="Arial Narrow"/>
        <family val="2"/>
      </rPr>
      <t xml:space="preserve"> </t>
    </r>
    <r>
      <rPr>
        <sz val="10"/>
        <color indexed="10"/>
        <rFont val="Arial Narrow"/>
        <family val="2"/>
      </rPr>
      <t>(média praticada pelas empresas do setor) (Base de Cálculo: M1 + M2 + M3 + M4 + M5 + M6-A)</t>
    </r>
  </si>
  <si>
    <t>C1. Tributos Federais</t>
  </si>
  <si>
    <t>C1-A - PIS (Regra Geral: Lucro Presumido: 0,65%; Lucro Real: 1,65%; Simples: 0,44%)</t>
  </si>
  <si>
    <t>C1-B - COFINS (Regra Geral: Lucro Presumido: 3%; Lucro Real: 7,6%; Simples: 2,35%)</t>
  </si>
  <si>
    <r>
      <rPr>
        <sz val="10"/>
        <rFont val="Arial Narrow"/>
        <family val="2"/>
      </rPr>
      <t xml:space="preserve">C1-C </t>
    </r>
    <r>
      <rPr>
        <sz val="10"/>
        <color indexed="12"/>
        <rFont val="Arial Narrow"/>
        <family val="2"/>
      </rPr>
      <t>(Empresa beneficiária da Desoneração da Folha - INSS substituído pela CPRB - Lei 13.670/2018)</t>
    </r>
  </si>
  <si>
    <t>C1-D</t>
  </si>
  <si>
    <t>C2. Tributos Estaduais</t>
  </si>
  <si>
    <t>N/A</t>
  </si>
  <si>
    <t>C2-A</t>
  </si>
  <si>
    <t>C2-B</t>
  </si>
  <si>
    <t>C2-C</t>
  </si>
  <si>
    <t>C2-D</t>
  </si>
  <si>
    <t>C3. Tributos Municipais</t>
  </si>
  <si>
    <t>C3-A - ISS (Regra geral: 5%)</t>
  </si>
  <si>
    <t>QUADRO-RESUMO DO CUSTO POR EMPREGADO</t>
  </si>
  <si>
    <t>Módulo 2 - Encargos Sociais e Trabalhistas</t>
  </si>
  <si>
    <t>Módulo 3 - Provisão para Recisão</t>
  </si>
  <si>
    <t>Módulo 4 - Custo de Reposição do Profissional Ausente</t>
  </si>
  <si>
    <t>Módulo 5 - Insumos Diversos (uniformes, materiais, equipamentos e outros)</t>
  </si>
  <si>
    <t>Subtotal ( A + B + C + D + E)</t>
  </si>
  <si>
    <t>Módulo 6 - Custos Indiretos, Tributos e Lucro</t>
  </si>
  <si>
    <t>VALOR TOTAL POR EMPREGADO POR MÊS</t>
  </si>
  <si>
    <t>Valor Unitário (mensal por empregado)</t>
  </si>
  <si>
    <t>Valor mensal do serviço (Valor unitário X nº de postos de trabalho)</t>
  </si>
  <si>
    <t>Valor anual da proposta (Valor mensal do serviço X 12 de meses do contrato)</t>
  </si>
  <si>
    <t>Valor Global da proposta (Valor mensal do serviço X nº de meses do contrato)</t>
  </si>
  <si>
    <t>BASE DE CÁLCULO (Mód 1 + Mód 2 + Mód 3 + Mód 4 + Mód 5 + Mód 6A + Mód 6B)</t>
  </si>
  <si>
    <t>RESUMO (Caso Concreto) (1=Simples; 2=Lucro Real; 3=Lucro presumido)</t>
  </si>
  <si>
    <t>OBSERVAÇÕES:</t>
  </si>
  <si>
    <t xml:space="preserve">DESCRIÇÃO </t>
  </si>
  <si>
    <t xml:space="preserve">Unidade </t>
  </si>
  <si>
    <t>Meias</t>
  </si>
  <si>
    <t>Par</t>
  </si>
  <si>
    <t>Colete balístico</t>
  </si>
  <si>
    <t>Capa de Chuva</t>
  </si>
  <si>
    <t>Boné</t>
  </si>
  <si>
    <t>PR000353/2024</t>
  </si>
  <si>
    <t>Salário mínimo vigente nacional</t>
  </si>
  <si>
    <t>Par de algemas para imobilização</t>
  </si>
  <si>
    <t>Tonfa</t>
  </si>
  <si>
    <t>Jaqueta</t>
  </si>
  <si>
    <t>Arma de Fogo (no mínimo calibre 38)</t>
  </si>
  <si>
    <t>Munição (no mínimo calibre 38)</t>
  </si>
  <si>
    <t>Coldre</t>
  </si>
  <si>
    <t>Lanterna (com pilhas)</t>
  </si>
  <si>
    <t>Capacete de segurança</t>
  </si>
  <si>
    <t>Protetor auricular</t>
  </si>
  <si>
    <t>Camisa (com logo contratada)</t>
  </si>
  <si>
    <t>Camiseta (com logo contratada)</t>
  </si>
  <si>
    <t>Calça</t>
  </si>
  <si>
    <t>Cinto</t>
  </si>
  <si>
    <t>Bota ou Coturno (ambos com CA)</t>
  </si>
  <si>
    <r>
      <t>Celular funcional:</t>
    </r>
    <r>
      <rPr>
        <sz val="11"/>
        <rFont val="Calibri"/>
        <family val="2"/>
      </rPr>
      <t xml:space="preserve">
- com linha ativa</t>
    </r>
  </si>
  <si>
    <r>
      <rPr>
        <b/>
        <sz val="11"/>
        <rFont val="Calibri"/>
        <family val="2"/>
      </rPr>
      <t xml:space="preserve">Detector de metais portáteis:
</t>
    </r>
    <r>
      <rPr>
        <sz val="8"/>
        <rFont val="Calibri"/>
        <family val="2"/>
      </rPr>
      <t>I. Formato: bastão ou espada;
II. Possuir dimensões reduzidas, igual ou inferior a: comprimento 480mm, espessura 34mm e largura 120mm;
III. Possuir peso reduzido, igual ou inferior a: 400 g (quatrocentos gramas);
IV. Estrutura em plástico ABS injetado e resistente a quedas e intempéries;
V. Capacidade de detectar metais magnéticos e não magnéticos, ferrosos e não ferrosos;
VI. Ajuste digital de sensibilidade, com seleção de níveis;
VII. Indicador visual de detector ligado, de bateria com carga baixa e de bateria descarregada;
VIII. Indicador visual e sonoro de detecção;
IX. Ativação de detecção silenciosa com indicação de detecção visual e por vibração;
X. Não sofrer interferência de objetos metálicos próximos;
XI. Conexão com rede de alimentação elétrica bivolt (110V/220V);
XII. Acessórios integrantes: Cordão de punho e Carregador de baterias compatível com a bateria fornecida e sem necessidade de adaptações.</t>
    </r>
  </si>
  <si>
    <r>
      <rPr>
        <b/>
        <sz val="11"/>
        <rFont val="Calibri"/>
        <family val="2"/>
      </rPr>
      <t>Caixa de manejo de armamento:</t>
    </r>
    <r>
      <rPr>
        <sz val="11"/>
        <rFont val="Calibri"/>
        <family val="2"/>
        <charset val="1"/>
      </rPr>
      <t xml:space="preserve">
</t>
    </r>
    <r>
      <rPr>
        <sz val="8"/>
        <rFont val="Calibri"/>
        <family val="2"/>
      </rPr>
      <t>I. Chapas metálicas (4 mm espessura mínima) ou;
II. MDF ou madeira maciça (18 mm espessura mínima);
III. Medidas de 50 cm x 50cm x 80 cm;
IV. Cor Preta;
V. Com 50 cm de areia na parte superior.</t>
    </r>
  </si>
  <si>
    <r>
      <rPr>
        <b/>
        <sz val="11"/>
        <rFont val="Calibri"/>
        <family val="2"/>
      </rPr>
      <t>Posto avançado (Guarita-container):</t>
    </r>
    <r>
      <rPr>
        <sz val="11"/>
        <rFont val="Calibri"/>
        <family val="2"/>
        <charset val="1"/>
      </rPr>
      <t xml:space="preserve">
</t>
    </r>
    <r>
      <rPr>
        <sz val="8"/>
        <rFont val="Calibri"/>
        <family val="2"/>
      </rPr>
      <t>I. Serão aceitos somente Guaritas com estrutura em CONTAINER com medidas aproximadas de 3,00 comprimento x 2,40m largura x 2,40m altura, contendo banheiro interno e Ar Condicionado.
II. O container deverá ser estruturado com: Forro em PVC, piso cerâmico, 1 bancada 1,00m x 0,60cm, 1 Luminária linear interna, 1 janela de correr com medidas aproximadas 1,00m x 1,20m, 1 porta 2,10m x 0,90cm com fechadura externa, ar condicionado de 7.000 ou 9.000 BTUs (podendo ser do tipo JANELA), com tecnologia inverter instalado e pronto para devido funcionamento, 2 tomadas com aterramento, 1 interruptor com duas teclas, 1 luminária de led externa.
III. O banheiro deverá conter: 1 vaso sanitário com caixa acoplada, 1 lavatório em louça com torneira, 1 janela padrão com boa ventilação, 1 luminária quadrada em led, 1 interruptor 1 tecla, medidas aproximadas do banheiro 1,15m comp. X 1,00m larg. X 2,40m alt.;
IV. O container deverá conter a saída de elétrica e hidráulica para ligações na rede da (elétrica e hidráulica) da CONTRATANTE. Ou seja, toda a fiação e encanamento deverão estar aptos no momento da instalação da Portos do Paraná.
V. Como serão destinados à ocupação de pessoas para fins profissionais, devem conter Laudo Técnico comprovando condições seguras, conforme a Portaria MTE nº 1.420/2024;
VI. A CONTRATADA poderá subcontratar na modalidade locação para o devido fornecimento destas GUARITA-CONTEINERES durante o período de vigência do contrato.
VII. As estruturas disponibilizadas pela CONTRATADA deverão ser retiradas em até 30 (trinta) dias após o término do contrato.</t>
    </r>
  </si>
  <si>
    <r>
      <rPr>
        <b/>
        <sz val="11"/>
        <rFont val="Calibri"/>
        <family val="2"/>
      </rPr>
      <t xml:space="preserve">Veículo automotor:
</t>
    </r>
    <r>
      <rPr>
        <sz val="8"/>
        <rFont val="Calibri"/>
        <family val="2"/>
      </rPr>
      <t>I. Veículo automotor com potência mínima de 100 cv, 5 lugares, com as revisões obrigatórias pelo fabricante comprovadas, apresentação de laudo técnico atualizado e com inspeção veicular vigente, devidamente regularizado, em conformidade com a legislação e manutenção conforme fabricante;
II. A média mensal de uso do veículo será de aproximadamente 3.000km/mês;
III. Todos os custos de manutenção preventiva ou corretiva, obrigações fiscais e multas, ocorrerão sob responsabilidade única e exclusiva da CONTRATADA;
IV. O veículo deverá ser adesivado com LOGOTIPO da CONTRATADA nas portas dianteiras e dispositivo sinalizador (giroflex) de cor amarela.
V. O veículo deverá conter dispositivo de rastreamento com sistema de georreferenciamento, que permita identificar “dia, horário e local” que o SUPERVISOR realizou as rondas.</t>
    </r>
  </si>
  <si>
    <r>
      <rPr>
        <b/>
        <sz val="11"/>
        <rFont val="Calibri"/>
        <family val="2"/>
      </rPr>
      <t xml:space="preserve">Motocicletas:
</t>
    </r>
    <r>
      <rPr>
        <sz val="8"/>
        <rFont val="Calibri"/>
        <family val="2"/>
      </rPr>
      <t>I. Motocicleta mínimo 150cc, com as revisões obrigatórias pelo fabricante comprovadas, apresentação de laudo técnico atualizado e com inspeção veicular vigente, devidamente regularizada, em conformidade com a legislação e manutenção conforme fabricante;
II. A média mensal de uso é de cerca de 2.000km;
III. Todos os custos de manutenção preventiva ou corretiva, obrigações fiscais e multas, ocorrerão sob responsabilidade única e exclusiva da Contratada;
IV. O veículo deverá ser adesivado com o logotipo da CONTRATADA em local visível, como o tanque ou a carenagem lateral, e dispositivo sinalizador (stroblo) de cor branca.
V. O veículo deverá conter dispositivo de rastreamento com sistema de georreferenciamento, que permita identificar “dia, horário e local” que os VIGILANTES realizaram as rondas.</t>
    </r>
  </si>
  <si>
    <t>Paranaguá/PR</t>
  </si>
  <si>
    <t xml:space="preserve"> &lt; Atualizar valor de acordo com a CCT vigente da categoria!</t>
  </si>
  <si>
    <t xml:space="preserve"> &lt; Atualizar valor de acordo com o mínimo nacional vigente!</t>
  </si>
  <si>
    <t>I</t>
  </si>
  <si>
    <t>Descrição do Item</t>
  </si>
  <si>
    <r>
      <t>Vale-transporte</t>
    </r>
    <r>
      <rPr>
        <sz val="10"/>
        <color indexed="10"/>
        <rFont val="Arial Narrow"/>
        <family val="2"/>
      </rPr>
      <t xml:space="preserve"> - </t>
    </r>
    <r>
      <rPr>
        <b/>
        <sz val="10"/>
        <color indexed="10"/>
        <rFont val="Arial Narrow"/>
        <family val="2"/>
      </rPr>
      <t>Conforme a CCT</t>
    </r>
    <r>
      <rPr>
        <sz val="10"/>
        <color indexed="10"/>
        <rFont val="Arial Narrow"/>
        <family val="2"/>
      </rPr>
      <t xml:space="preserve"> (Qtde. de vale transporte por mês x Valor unitário do vale ) - Desconto da parte do empregado (6% do salário básico)</t>
    </r>
  </si>
  <si>
    <t>Contribuição Assistencial Patronal</t>
  </si>
  <si>
    <t>Quantidade de Fornecimento</t>
  </si>
  <si>
    <t>Fornecimento</t>
  </si>
  <si>
    <t>Quantidade</t>
  </si>
  <si>
    <t>Quantidade de Profissionais</t>
  </si>
  <si>
    <t>Valor Total</t>
  </si>
  <si>
    <t>Valor Mensal por Profissional</t>
  </si>
  <si>
    <t>Total Mensal Por Profissional</t>
  </si>
  <si>
    <t xml:space="preserve">Convenção Coletiva de Trabalho (CCT) </t>
  </si>
  <si>
    <t>Tempo de Contrato
(Meses de Amortização)</t>
  </si>
  <si>
    <r>
      <t xml:space="preserve">A Convenção Coletiva de Trabalho (CCT) de Vigilãncia está disponível no site do Sindicato das Empresas de Segurança Privada do Paraná - SINDESP, no link: </t>
    </r>
    <r>
      <rPr>
        <b/>
        <sz val="12"/>
        <color rgb="FF0000CC"/>
        <rFont val="Spranq eco sans"/>
      </rPr>
      <t>https://www.sindesp-pr.org.br/convencoes</t>
    </r>
  </si>
  <si>
    <t>Qtdes Subsequentes 
a cada 10 (dez) meses</t>
  </si>
  <si>
    <t>Preço Unitário</t>
  </si>
  <si>
    <t>Qtde. Total Fornecimento
para 30 (trinta) meses</t>
  </si>
  <si>
    <t>Quantidade
Inicial a Fornecer</t>
  </si>
  <si>
    <t>Apito de metal com cordão para fixação no uniforme</t>
  </si>
  <si>
    <t>DIGITÁVEL</t>
  </si>
  <si>
    <t>Legenda:</t>
  </si>
  <si>
    <t>NÃO DIGITÁVEL</t>
  </si>
  <si>
    <t>SERVIÇO DE VIGILÂNCIA ARMADA, PELO PERÍODO DE 30 (TRINTA) MESES</t>
  </si>
  <si>
    <t>ADMINISTRAÇÃO DOS PORTOS DE PARANAGUÁ E ANTONINA - APPA (PORTOS DO PARANÁ)</t>
  </si>
  <si>
    <t>Dados da empresa
(Razão Social):</t>
  </si>
  <si>
    <t>DATA-BASE DA CATEGORIA</t>
  </si>
  <si>
    <t>VIGILANTE DIURNO</t>
  </si>
  <si>
    <t>VIGILANTE NOTURNO</t>
  </si>
  <si>
    <t>SUPERVISOR DIURNO</t>
  </si>
  <si>
    <t>SUPERVISOR NOTURNO</t>
  </si>
  <si>
    <t>TIPO DE SERVIÇO:</t>
  </si>
  <si>
    <t>Mão-de-obra vinculada à execução contratual (Quantidade de empregados)</t>
  </si>
  <si>
    <t>Empregados</t>
  </si>
  <si>
    <t>VALOR TOTAL POR MÊS POR TIPO DE SERVIÇO</t>
  </si>
  <si>
    <t>Quantidade de Empregados Requisitados para Contratação</t>
  </si>
  <si>
    <t>QUADRO-RESUMO DA PROPOSTA</t>
  </si>
  <si>
    <t>PLANILHA DE CUSTOS E FORMAÇÃO DE PREÇOS (PCFP) – VIGILÂNCIA ARMADA 24 HORAS</t>
  </si>
  <si>
    <t>VALOR TOTAL ESTIMADO POR MÊS NA PROPOSTA:</t>
  </si>
  <si>
    <t>ANEXO - PLANILHA DE CUSTOS E FORMAÇÃO DOS PREÇOS - PCFP</t>
  </si>
  <si>
    <t xml:space="preserve"> </t>
  </si>
  <si>
    <t>Serviço / Posto de trabalho</t>
  </si>
  <si>
    <t>Quantidade de empregados</t>
  </si>
  <si>
    <t>Postos de Trabalho</t>
  </si>
  <si>
    <t>VIGILÂNCIA ARMADA – DIURNO</t>
  </si>
  <si>
    <t>PCFP – VIGILÂNCIA ARMADA – DIURNO</t>
  </si>
  <si>
    <t>Processo SAP (APPA) nº</t>
  </si>
  <si>
    <t xml:space="preserve"> &lt; (Percentual ilustrativo): Atualizar o índice de acordo com a legislação vigente aplicável para a categoria!</t>
  </si>
  <si>
    <t xml:space="preserve"> &lt; (Valor ilustrativo): Atualizar o salário base, não podendo ser inferior ao mínimo exigido pela CCT vigente da categoria!</t>
  </si>
  <si>
    <t xml:space="preserve"> &lt; (Percentual meramente ilustrativo): Atualizar os índices % de acordo com a legislação vigente aplicável para a categoria!</t>
  </si>
  <si>
    <t>&lt;&lt; (Valores meramente ilustrativos): 1) Atualizar conforme vossa proposta. 2) Não poderá ser inferior ao mínimo exigido pela CCT vigente).</t>
  </si>
  <si>
    <t>ITEM</t>
  </si>
  <si>
    <t>DETALHAMENTO DO "MÓDULO 5: INSUMOS DIVERSOS"</t>
  </si>
  <si>
    <r>
      <t xml:space="preserve">CELULAR FUNCIONAL
</t>
    </r>
    <r>
      <rPr>
        <sz val="10"/>
        <color theme="0"/>
        <rFont val="Arial Narrow"/>
        <family val="2"/>
      </rPr>
      <t>("Item 5.1. a" do Termo de Referência)</t>
    </r>
  </si>
  <si>
    <r>
      <t xml:space="preserve">AUTOMÓVEL
</t>
    </r>
    <r>
      <rPr>
        <sz val="10"/>
        <color theme="0"/>
        <rFont val="Arial Narrow"/>
        <family val="2"/>
      </rPr>
      <t>("Item 5.1. b" do Termo de Referência)</t>
    </r>
  </si>
  <si>
    <r>
      <t xml:space="preserve">POSTOS AVANÇADOS DE VIGILÂNCIA (GUARITA-CONTEINER)
</t>
    </r>
    <r>
      <rPr>
        <sz val="10"/>
        <color theme="0"/>
        <rFont val="Arial Narrow"/>
        <family val="2"/>
      </rPr>
      <t>("Item 5.1. d" do Termo de Referência)</t>
    </r>
  </si>
  <si>
    <r>
      <t xml:space="preserve">MOTOCICLETAS
</t>
    </r>
    <r>
      <rPr>
        <sz val="10"/>
        <color theme="0"/>
        <rFont val="Arial Narrow"/>
        <family val="2"/>
      </rPr>
      <t>("Item 5.1. c" do Termo de Referência)</t>
    </r>
  </si>
  <si>
    <r>
      <t xml:space="preserve">DISPOSITIVOS DE SUPERVISOR ELETRÔNICO DE RONDA
</t>
    </r>
    <r>
      <rPr>
        <sz val="10"/>
        <color theme="0"/>
        <rFont val="Arial Narrow"/>
        <family val="2"/>
      </rPr>
      <t>("Item 5.1. e" do Termo de Referência)</t>
    </r>
  </si>
  <si>
    <r>
      <t xml:space="preserve">CAIXAS DE MANEJO DE ARMAMENTO (CAIXA DE AREIA)
</t>
    </r>
    <r>
      <rPr>
        <sz val="10"/>
        <color theme="0"/>
        <rFont val="Arial Narrow"/>
        <family val="2"/>
      </rPr>
      <t>("Item 5.1. f" do Termo de Referência)</t>
    </r>
  </si>
  <si>
    <r>
      <t xml:space="preserve">Detectores de metais portáteis para uso de vigilantes em postos de serviços
</t>
    </r>
    <r>
      <rPr>
        <sz val="10"/>
        <color theme="0"/>
        <rFont val="Arial Narrow"/>
        <family val="2"/>
      </rPr>
      <t>("Item 5.1. g" do Termo de Referência)</t>
    </r>
  </si>
  <si>
    <r>
      <t xml:space="preserve">EQUIPAMENTOS DE PROTEÇÃO INDIVIDUAL – EPIs
</t>
    </r>
    <r>
      <rPr>
        <sz val="10"/>
        <color theme="0"/>
        <rFont val="Arial Narrow"/>
        <family val="2"/>
      </rPr>
      <t>("Item 5.2." do Termo de Referência)</t>
    </r>
  </si>
  <si>
    <r>
      <t xml:space="preserve">UNIFORME COMPLETO (PARA TODOS OS FUNCIONÁRIOS)
</t>
    </r>
    <r>
      <rPr>
        <sz val="10"/>
        <color theme="0"/>
        <rFont val="Arial Narrow"/>
        <family val="2"/>
      </rPr>
      <t>("Item 5.3." do Termo de Referência)</t>
    </r>
  </si>
  <si>
    <t>EQUIPAMENTOS DE PROTEÇÃO INDIVIDUAL – EPIs
("Item 5.2." do Termo de Referência)</t>
  </si>
  <si>
    <r>
      <rPr>
        <b/>
        <sz val="18"/>
        <color theme="0"/>
        <rFont val="Arial Narrow"/>
        <family val="2"/>
      </rPr>
      <t xml:space="preserve">ITENS A SEREM FORNECIDOS PELA CONTRATADA </t>
    </r>
    <r>
      <rPr>
        <b/>
        <sz val="15"/>
        <color theme="0"/>
        <rFont val="Arial Narrow"/>
        <family val="2"/>
      </rPr>
      <t xml:space="preserve">
</t>
    </r>
    <r>
      <rPr>
        <b/>
        <sz val="12"/>
        <color theme="0"/>
        <rFont val="Arial Narrow"/>
        <family val="2"/>
      </rPr>
      <t>(Inclusos no Valor Global do Contrato - conforme "item 5" do Termo de Referência)</t>
    </r>
  </si>
  <si>
    <t>AUTOMÓVEL
("Item 5.1. b" do Termo de Referência)</t>
  </si>
  <si>
    <t>MOTOCICLETAS
("Item 5.1. c" do Termo de Referência)</t>
  </si>
  <si>
    <t>POSTOS AVANÇADOS DE VIGILÂNCIA (GUARITA-CONTEINER)
("Item 5.1. d" do Termo de Referência)</t>
  </si>
  <si>
    <t>DISPOSITIVOS DE SUPERVISOR ELETRÔNICO DE RONDA
("Item 5.1. e" do Termo de Referência)</t>
  </si>
  <si>
    <t>CAIXAS DE MANEJO DE ARMAMENTO (CAIXA DE AREIA)
("Item 5.1. f" do Termo de Referência)</t>
  </si>
  <si>
    <t>Detectores de metais portáteis para uso de vigilantes em postos de serviços
("Item 5.1. g" do Termo de Referência)</t>
  </si>
  <si>
    <r>
      <rPr>
        <b/>
        <sz val="11"/>
        <rFont val="Calibri"/>
        <family val="2"/>
      </rPr>
      <t>Dispositivo eletrônico de ronda:</t>
    </r>
    <r>
      <rPr>
        <sz val="11"/>
        <rFont val="Calibri"/>
        <family val="2"/>
        <charset val="1"/>
      </rPr>
      <t xml:space="preserve">
</t>
    </r>
    <r>
      <rPr>
        <sz val="8"/>
        <rFont val="Calibri"/>
        <family val="2"/>
      </rPr>
      <t>- Sistemas de controle de ronda que utilizam um bastão eletrônico e botões RFID para registrar a passagem do vigilante em pontos específicos de uma rota de segurança, garantindo que o percurso seja seguido corretamente.
- I. Os dispositivos deverão permitir descarregar os dados nele contidos para emissão de relatórios mensais, a qualquer tempo, em que conste data, local e horário que o vigilante efetuou a ronda.
II. Os dispositivos deverão ser instalados obrigatoriamente nos seguintes locais: PÁTIO DE TRIAGEM, PÍER PÚBLICO DE INFLAMÁVEIS e COMPLEXO PALÁCIO TAGUARÉ.</t>
    </r>
    <r>
      <rPr>
        <sz val="11"/>
        <rFont val="Calibri"/>
        <family val="2"/>
      </rPr>
      <t xml:space="preserve">
</t>
    </r>
    <r>
      <rPr>
        <b/>
        <sz val="8"/>
        <rFont val="Calibri"/>
        <family val="2"/>
      </rPr>
      <t>*(Cada dispositivo deve contemplar no mínimo de 6 pontos de ronda)</t>
    </r>
  </si>
  <si>
    <t>Quantidade
(Kit Dispositivo)</t>
  </si>
  <si>
    <t>UNIFORME COMPLETO (PARA TODOS OS FUNCIONÁRIOS)
("Item 5.3." do Termo de Referência)</t>
  </si>
  <si>
    <t>i</t>
  </si>
  <si>
    <t>CELULAR FUNCIONAL
("Item 5.1. a" do Termo de Referência)</t>
  </si>
  <si>
    <r>
      <t xml:space="preserve">Preço Unitário
</t>
    </r>
    <r>
      <rPr>
        <sz val="10"/>
        <color theme="0"/>
        <rFont val="Calibri"/>
        <family val="2"/>
      </rPr>
      <t>(incluindo despesas</t>
    </r>
    <r>
      <rPr>
        <b/>
        <sz val="10"/>
        <color theme="0"/>
        <rFont val="Calibri"/>
        <family val="2"/>
        <charset val="1"/>
      </rPr>
      <t>)</t>
    </r>
  </si>
  <si>
    <t xml:space="preserve">QUADRO-RESUMO DOS ITENS A SEREM FORNECIDOS PELA CONTRATADA </t>
  </si>
  <si>
    <t>Máscara de proteção (Antipoeira, com válvula)</t>
  </si>
  <si>
    <t>h</t>
  </si>
  <si>
    <t>j</t>
  </si>
  <si>
    <r>
      <t xml:space="preserve">CELULAR FUNCIONAL - </t>
    </r>
    <r>
      <rPr>
        <sz val="10"/>
        <color indexed="10"/>
        <rFont val="Arial Narrow"/>
        <family val="2"/>
      </rPr>
      <t>(Valor mensal por profissional)</t>
    </r>
    <r>
      <rPr>
        <sz val="10"/>
        <rFont val="Arial Narrow"/>
        <family val="2"/>
      </rPr>
      <t xml:space="preserve">
</t>
    </r>
    <r>
      <rPr>
        <sz val="9"/>
        <rFont val="Arial Narrow"/>
        <family val="2"/>
      </rPr>
      <t xml:space="preserve"> - ("Item 5.1. a" do Termo de Referência)]</t>
    </r>
  </si>
  <si>
    <r>
      <t xml:space="preserve">MOTOCICLETAS - </t>
    </r>
    <r>
      <rPr>
        <sz val="10"/>
        <color indexed="10"/>
        <rFont val="Arial Narrow"/>
        <family val="2"/>
      </rPr>
      <t>(Valor mensal por profissional)</t>
    </r>
    <r>
      <rPr>
        <sz val="10"/>
        <rFont val="Arial Narrow"/>
        <family val="2"/>
      </rPr>
      <t xml:space="preserve">
 - [("Item 5.1. c" do Termo de Referência)</t>
    </r>
  </si>
  <si>
    <r>
      <t xml:space="preserve">DISPOSITIVOS DE SUPERVISOR ELETRÔNICO DE RONDA - </t>
    </r>
    <r>
      <rPr>
        <sz val="10"/>
        <color indexed="10"/>
        <rFont val="Arial Narrow"/>
        <family val="2"/>
      </rPr>
      <t>(Valor mensal por profissional)</t>
    </r>
    <r>
      <rPr>
        <sz val="10"/>
        <rFont val="Arial Narrow"/>
        <family val="2"/>
      </rPr>
      <t xml:space="preserve">
 - [("Item 5.1. e" do Termo de Referência)</t>
    </r>
  </si>
  <si>
    <r>
      <t xml:space="preserve">AUTOMÓVEL - </t>
    </r>
    <r>
      <rPr>
        <sz val="10"/>
        <color indexed="10"/>
        <rFont val="Arial Narrow"/>
        <family val="2"/>
      </rPr>
      <t>(Valor mensal por profissional)</t>
    </r>
    <r>
      <rPr>
        <sz val="10"/>
        <rFont val="Arial Narrow"/>
        <family val="2"/>
      </rPr>
      <t xml:space="preserve">
 - ("Item 5.1. b" do Termo de Referência)</t>
    </r>
  </si>
  <si>
    <r>
      <t xml:space="preserve">POSTOS AVANÇADOS DE VIGILÂNCIA (GUARITA-CONTEINER) - </t>
    </r>
    <r>
      <rPr>
        <sz val="10"/>
        <color indexed="10"/>
        <rFont val="Arial Narrow"/>
        <family val="2"/>
      </rPr>
      <t>(Valor mensal por profissional)</t>
    </r>
    <r>
      <rPr>
        <sz val="10"/>
        <rFont val="Arial Narrow"/>
        <family val="2"/>
      </rPr>
      <t xml:space="preserve">
 - ("Item 5.1. d" do Termo de Referência)</t>
    </r>
  </si>
  <si>
    <r>
      <t xml:space="preserve">CAIXAS DE MANEJO DE ARMAMENTO (CAIXA DE AREIA) - </t>
    </r>
    <r>
      <rPr>
        <sz val="10"/>
        <color indexed="10"/>
        <rFont val="Arial Narrow"/>
        <family val="2"/>
      </rPr>
      <t>(Valor mensal por profissional)</t>
    </r>
    <r>
      <rPr>
        <sz val="10"/>
        <rFont val="Arial Narrow"/>
        <family val="2"/>
      </rPr>
      <t xml:space="preserve">
 - ("Item 5.1. f" do Termo de Referência)</t>
    </r>
  </si>
  <si>
    <r>
      <t xml:space="preserve">DETECTORES DE METAIS PORTÁTEIS - </t>
    </r>
    <r>
      <rPr>
        <sz val="10"/>
        <color indexed="10"/>
        <rFont val="Arial Narrow"/>
        <family val="2"/>
      </rPr>
      <t>(Valor mensal por profissional)</t>
    </r>
    <r>
      <rPr>
        <sz val="10"/>
        <rFont val="Arial Narrow"/>
        <family val="2"/>
      </rPr>
      <t xml:space="preserve">
 - ("Item 5.1. g" do Termo de Referência)</t>
    </r>
  </si>
  <si>
    <r>
      <t xml:space="preserve">EQUIPAMENTOS DE PROTEÇÃO INDIVIDUAL – EPIs - </t>
    </r>
    <r>
      <rPr>
        <sz val="10"/>
        <color indexed="10"/>
        <rFont val="Arial Narrow"/>
        <family val="2"/>
      </rPr>
      <t>(Valor mensal por profissional)</t>
    </r>
    <r>
      <rPr>
        <sz val="10"/>
        <rFont val="Arial Narrow"/>
        <family val="2"/>
      </rPr>
      <t xml:space="preserve">
 - ("Item 5.2." do Termo de Referência)</t>
    </r>
  </si>
  <si>
    <r>
      <t xml:space="preserve">UNIFORME COMPLETO - </t>
    </r>
    <r>
      <rPr>
        <sz val="10"/>
        <color indexed="10"/>
        <rFont val="Arial Narrow"/>
        <family val="2"/>
      </rPr>
      <t>(Valor mensal por profissional)</t>
    </r>
    <r>
      <rPr>
        <sz val="10"/>
        <rFont val="Arial Narrow"/>
        <family val="2"/>
      </rPr>
      <t xml:space="preserve">
 - ("Item 5.3." do Termo de Referência)</t>
    </r>
  </si>
  <si>
    <t xml:space="preserve">Percentuais de custo indireto e de lucro retirados do comprasnet, Manual de Orientação para Preenchimento da Planilha de Custos e formação de preços para serviços de vigilância, fl. 34 (Demonstrativo CITL).
</t>
  </si>
  <si>
    <t>PCFP – VIGILÂNCIA ARMADA – NOTURNO</t>
  </si>
  <si>
    <t>VIGILÂNCIA ARMADA – NOTURNO</t>
  </si>
  <si>
    <t>PCFP – SUPERVISOR DE VIGILÂNCIA ARMADA – DIURNO</t>
  </si>
  <si>
    <t>PCFP – SUPERVISOR DE VIGILÂNCIA ARMADA – NOTURNO</t>
  </si>
  <si>
    <t>SUPERVISOR DE VIGILÂNCIA ARMADA – DIURNO</t>
  </si>
  <si>
    <t>SUPERVISOR DE VIGILÂNCIA ARMADA – NOTURNO</t>
  </si>
  <si>
    <t>VIGILANTE</t>
  </si>
  <si>
    <t>( ? )</t>
  </si>
  <si>
    <t xml:space="preserve"> &lt; Atualizar de acordo com a CCT vigente da categoria!</t>
  </si>
  <si>
    <t>MÓDULO 1 - REMUNERAÇÃO</t>
  </si>
  <si>
    <t>* A remuneração é definida no art. 457 da Consolidação das Leis do Trabalho. 
* É composta por Salário Base, Adicionais (noturno, de insalubridade ou periculosidade) e gratificações, quando houver.</t>
  </si>
  <si>
    <t>SALÁRIO BASE</t>
  </si>
  <si>
    <t>* O Salário Base vem definido na Convenção Coletiva de Trabalho da categoria profissional a ser contratada para o objeto da prestação de serviço. 
* O contratante deverá observar se a CCT abrange o município de prestação de serviço e se está vigente.</t>
  </si>
  <si>
    <t>GRATIFICAÇÃO DE FUNÇÃO</t>
  </si>
  <si>
    <t>ADICIONAIS (periculosidade ou insalubridade, se houver)</t>
  </si>
  <si>
    <t>ADICIONAL NOTURNO</t>
  </si>
  <si>
    <t>* Em caso de previsão de outros adicionais em Convenção Coletiva de Trabalho o órgão poderá utilizar este campo.</t>
  </si>
  <si>
    <t>MÓDULO 2 - ENCARGOS E BENEFÍCIOS (ANUAIS, MENSAIS E DIÁRIOS)</t>
  </si>
  <si>
    <t>SUBMÓDULO 2.1 – 13° SALÁRIO, FÉRIAS E ADICIONAL DE FÉRIAS</t>
  </si>
  <si>
    <t>SUBMÓDULO 2.2 - ENCARGOS PREVIDENCIÁRIOS E FGTS</t>
  </si>
  <si>
    <t>* Previsto no art. 195 da Constituição Federal. 
* Os percentuais informados não são taxativos e deverão observar o enquadramento real das empresas prestadoras de serviço, em especial no que diz respeito ao SAT-GIIL/RAT.</t>
  </si>
  <si>
    <t>SUBMÓDULO 2.3 - BENEFÍCIOS MENSAIS E DIÁRIOS</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</si>
  <si>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</si>
  <si>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VALE TRANSPORTE</t>
  </si>
  <si>
    <t>VALE ALIMENTAÇÃO/REFEIÇÃO</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</si>
  <si>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</si>
  <si>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SUBMÓDULO 3.1 - AVISO PRÉVIO INDENIZADO</t>
  </si>
  <si>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</si>
  <si>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SUBMÓDULO 3.2 - AVISO PRÉVIO TRABALHADO</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</si>
  <si>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</si>
  <si>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SUBMÓDULO 3.3 - DEMISSÃO POR JUSTA CAUSA</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</si>
  <si>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</si>
  <si>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SUBMÓDULO 4.1 - AUSÊNCIAS LEGAIS</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</si>
  <si>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</si>
  <si>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SUBMÓDULO 4.2 - INTRAJORNADA</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</si>
  <si>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</si>
  <si>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MÓDULO 5 - INSUMOS DE MÃO DE OBRA</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</si>
  <si>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</si>
  <si>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r>
      <t xml:space="preserve">Adicional de insalubridade </t>
    </r>
    <r>
      <rPr>
        <sz val="10"/>
        <color indexed="10"/>
        <rFont val="Arial Narrow"/>
        <family val="2"/>
      </rPr>
      <t xml:space="preserve"> (Informar o percentual aplicável, se for o caso)</t>
    </r>
  </si>
  <si>
    <t>(Verificar se haverá incidência de Gratificação por função ou se será incorporado ao salário base).</t>
  </si>
  <si>
    <t>* Verificar a legislação vigente aplicável, bem como a Convenção Coletiva de Trabalho - CCT da categoria a ser contratada.</t>
  </si>
  <si>
    <t>BENEFÍCIOS</t>
  </si>
  <si>
    <r>
      <t>Custos Indiretos</t>
    </r>
    <r>
      <rPr>
        <sz val="10"/>
        <rFont val="Arial Narrow"/>
        <family val="2"/>
      </rPr>
      <t xml:space="preserve"> </t>
    </r>
    <r>
      <rPr>
        <sz val="10"/>
        <color indexed="10"/>
        <rFont val="Arial Narrow"/>
        <family val="2"/>
      </rPr>
      <t>(média praticada pelas empresas do setor) (Base de Cálculo: M1 + M2 + M3 + M4 + M5)</t>
    </r>
  </si>
  <si>
    <t>* A proponente deverá levar em consideração a média praticada pelas empresas do setor, bem como sua intenção de Lucro, para a formação da proposta.</t>
  </si>
  <si>
    <t>RATEIO DO Cargo B ou "RATEIO DA CHEFIA DE CAMPO"</t>
  </si>
  <si>
    <t>CONSIDERAÇÕES FINAIS</t>
  </si>
  <si>
    <t>* É responsabilidade do usuário da empresa proponente a conferência das fórmulas automatizadas em conformidade com as disposições de CLT e CCT, para minimizar o risco de equívocos no cômputo das previsões financeiras.
* Caso a proponente realize qualquer alteração de fórmulas ou utilize outro modelo de Planilha de Custos e Formação de Preços, deverão obrigatoriamente justificar e detalhar a metodologia de cálculo utilizada.</t>
  </si>
  <si>
    <t>* A planilha de custos e formação de preços é uma ferramenta de apoio à realização de estimativas da contratação e para a análise das propostas na fase de pregão e nas prorrogações contratuais.</t>
  </si>
  <si>
    <t>CONSIDERAÇÕES INICIAIS</t>
  </si>
  <si>
    <t>* A presente proposta visa, tão somente, auxiliar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t>
  </si>
  <si>
    <t>INSTRUÇÕES PARA A PLANILHA DE CUSTOS E FORMAÇÃO DE PREÇOS - PCFP</t>
  </si>
  <si>
    <t>* Entretanto, não aplica-se a este caso pois será contratado um Posto de Serviço específico de Supervisor (Diurno e Noturno). Então, não deverão contemplar rateio de chefia nas propostas.</t>
  </si>
  <si>
    <t>CUSTO POR EMPREGADO</t>
  </si>
  <si>
    <t>* Este quadro totaliza a remuneração devida ao trabalhador, conforme previsão da Consolidação das Leis do Trabalho e valores disponíveis na Convenção Coletiva para a categoria</t>
  </si>
  <si>
    <r>
      <rPr>
        <u/>
        <sz val="12"/>
        <color theme="1"/>
        <rFont val="Times New Roman"/>
        <family val="1"/>
      </rPr>
      <t>* ATENÇÃO</t>
    </r>
    <r>
      <rPr>
        <sz val="12"/>
        <color theme="1"/>
        <rFont val="Times New Roman"/>
        <family val="1"/>
      </rPr>
      <t>: Aplicável para os cargos de SUPERVISOR DE VIGILANTES, nas abas:  "IV. PCFP Supervisor Diurno"  e  "V. PCFP Supervisor Noturno"</t>
    </r>
  </si>
  <si>
    <r>
      <t>* Neste Processo Licitatório serão contratados "</t>
    </r>
    <r>
      <rPr>
        <b/>
        <sz val="12"/>
        <color rgb="FF0000CC"/>
        <rFont val="Times New Roman"/>
        <family val="1"/>
      </rPr>
      <t>32 (trinta e dois) Postos de Serviços de VIGILÃNCIA ARMADA 24h"</t>
    </r>
    <r>
      <rPr>
        <sz val="12"/>
        <color theme="1"/>
        <rFont val="Times New Roman"/>
        <family val="1"/>
      </rPr>
      <t xml:space="preserve">, sendo: 
   a) </t>
    </r>
    <r>
      <rPr>
        <b/>
        <sz val="12"/>
        <color theme="1"/>
        <rFont val="Times New Roman"/>
        <family val="1"/>
      </rPr>
      <t>31 Postos de VIGILANTE ARMADO 24h;</t>
    </r>
    <r>
      <rPr>
        <sz val="12"/>
        <color theme="1"/>
        <rFont val="Times New Roman"/>
        <family val="1"/>
      </rPr>
      <t xml:space="preserve"> e 
   b) </t>
    </r>
    <r>
      <rPr>
        <b/>
        <sz val="12"/>
        <color theme="1"/>
        <rFont val="Times New Roman"/>
        <family val="1"/>
      </rPr>
      <t>01 Posto de SUPERVISOR DE VIGILANTES 24h</t>
    </r>
    <r>
      <rPr>
        <sz val="12"/>
        <color theme="1"/>
        <rFont val="Times New Roman"/>
        <family val="1"/>
      </rPr>
      <t>. 
 - Para isso, em virtude de diferenciação de custos entre Diurno e Noturno, desmembra-se em 04 (quatro) tipos de serviços a serem contratados, que estão separados nas seguintes abas: "</t>
    </r>
    <r>
      <rPr>
        <b/>
        <sz val="12"/>
        <color theme="1"/>
        <rFont val="Times New Roman"/>
        <family val="1"/>
      </rPr>
      <t>II. Vigilante Diurno</t>
    </r>
    <r>
      <rPr>
        <sz val="12"/>
        <color theme="1"/>
        <rFont val="Times New Roman"/>
        <family val="1"/>
      </rPr>
      <t>", "</t>
    </r>
    <r>
      <rPr>
        <b/>
        <sz val="12"/>
        <color theme="1"/>
        <rFont val="Times New Roman"/>
        <family val="1"/>
      </rPr>
      <t>III. Vigilante Noturno</t>
    </r>
    <r>
      <rPr>
        <sz val="12"/>
        <color theme="1"/>
        <rFont val="Times New Roman"/>
        <family val="1"/>
      </rPr>
      <t>", "</t>
    </r>
    <r>
      <rPr>
        <b/>
        <sz val="12"/>
        <color theme="1"/>
        <rFont val="Times New Roman"/>
        <family val="1"/>
      </rPr>
      <t>IV. Supervisor Diurno</t>
    </r>
    <r>
      <rPr>
        <sz val="12"/>
        <color theme="1"/>
        <rFont val="Times New Roman"/>
        <family val="1"/>
      </rPr>
      <t>" e "</t>
    </r>
    <r>
      <rPr>
        <b/>
        <sz val="12"/>
        <color theme="1"/>
        <rFont val="Times New Roman"/>
        <family val="1"/>
      </rPr>
      <t>V. Supervisor Noturno</t>
    </r>
    <r>
      <rPr>
        <sz val="12"/>
        <color theme="1"/>
        <rFont val="Times New Roman"/>
        <family val="1"/>
      </rPr>
      <t xml:space="preserve">".
</t>
    </r>
  </si>
  <si>
    <t>* Em cada PCFP há um QUADRO-RESUMO DO CUSTO POR EMPREGADO, de acordo com a "Mão-de-obra vinculada à execução contratual, que estará contemplado nas seguintes abas: "II. Vigilante Diurno", "III. Vigilante Noturno", "IV. Supervisor Diurno" e "V. Supervisor Noturno".
* E, após o preenchimento destas abas acima, automaticamente constará preenchido também em "VII. Quadro-Resumo PCFP;"</t>
  </si>
  <si>
    <t>"Módulo 5 - Insumos Diversos" (valor por empregado)</t>
  </si>
  <si>
    <t>* Este arquivo contempla ao todo 08 (oito) abas, sendo:
   I. Considerações Iniciais
   II. PCFP Vigilante Diurno
   III. PCFP Vigilante Noturno
   IV. PCFP Supervisor Diurno
   V. PCFP Supervisor Noturno
   VI. Insumos Diversos;
   VII. Quadro-Resumo PCFP;
   VIII. CCT VGT 2024-2026</t>
  </si>
  <si>
    <r>
      <t>* Na aba denominada "</t>
    </r>
    <r>
      <rPr>
        <b/>
        <sz val="12"/>
        <color theme="1"/>
        <rFont val="Times New Roman"/>
        <family val="1"/>
      </rPr>
      <t>VI. Insumos Diversos</t>
    </r>
    <r>
      <rPr>
        <sz val="12"/>
        <color theme="1"/>
        <rFont val="Times New Roman"/>
        <family val="1"/>
      </rPr>
      <t>", contempla o detalhamento dos Insumos Diversos (Módulo 5) que deve ser preenchida para replicar às PCFP's.
* Na aba denominada "</t>
    </r>
    <r>
      <rPr>
        <b/>
        <sz val="12"/>
        <color theme="1"/>
        <rFont val="Times New Roman"/>
        <family val="1"/>
      </rPr>
      <t>VII. Quadro-Resumo PCFP</t>
    </r>
    <r>
      <rPr>
        <sz val="12"/>
        <color theme="1"/>
        <rFont val="Times New Roman"/>
        <family val="1"/>
      </rPr>
      <t>" não será necessário nenhum prenchimento - visto que alimentar-se-á automaticamente após o preenchimento das seguintes abas:   II. PCFP Vigilante Diurno, III. PCFP Vigilante Noturno, IV. PCFP Supervisor Diurno, V. PCFP Supervisor Noturno e VI. Insumos Diversos;
* Na aba denominada "</t>
    </r>
    <r>
      <rPr>
        <b/>
        <sz val="12"/>
        <color theme="1"/>
        <rFont val="Times New Roman"/>
        <family val="1"/>
      </rPr>
      <t>VIII. CCT VGT 2024-2026</t>
    </r>
    <r>
      <rPr>
        <sz val="12"/>
        <color theme="1"/>
        <rFont val="Times New Roman"/>
        <family val="1"/>
      </rPr>
      <t>" não será necessário nenhum prenchimento. Entretanto, deve ser observada atentamente para o preenchimento das demais abas, visto que contempla na íntegra a Convenção Coletiva de Trabalho (CCT) dos Vigilantes de Paranaguá/PR e Litoral, incluindo-se Antonina/PR.</t>
    </r>
  </si>
  <si>
    <t>* Gratificação de função, quando houver, virá informada na Convenção Coletiva de Trabalho da categoria profissional a ser contratada. 
* O órgão contratante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</si>
  <si>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 Os adicionais de periculosidade ou insalubridade, em conformidade com os art. 192 e 193 da CLT, dependem da natureza do serviço a ser prestado. 
* O órgão contratante deverá observar, além da existência de previsão em CLT, se há informações na Convenção Coletiva de Trabalho acerca dos adicionais, bem como seu percentual e a base de cálculo, devendo adaptar a planilha ao caso em concreto. </t>
  </si>
  <si>
    <t xml:space="preserve">* O Adicional Noturno e a Hora Noturna Reduzida, conforme art. 73 da CLT, serão pagos entre 22h e 5h do dia seguinte, sem prorrogação quando da jornada 12x36h.
* O órgão contratante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</si>
  <si>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O Custo de reposição do profissional ausente refere-se ao custo necessário para substituir, no posto de trabalho, o profissional residente quando estiver em gozo de férias ou no caso de uma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de 12x36h a necessidade de reposição incide somente em 50% do dias de ausência devido à escala. 
* Na jornada 44h computa-se somente a reposição nos dias úteis, portanto, 69,04% da ausência total.</t>
  </si>
  <si>
    <r>
      <t>* Para este Módulo, aplica-se também as exigências constantes no Termo de Referência. E, para melhor entendimento e mensuração do cálculo por trabalhador, está estruturada em uma aba separada ("</t>
    </r>
    <r>
      <rPr>
        <b/>
        <sz val="12"/>
        <color theme="1"/>
        <rFont val="Times New Roman"/>
        <family val="1"/>
      </rPr>
      <t>VI. Insumos Diversos"</t>
    </r>
    <r>
      <rPr>
        <sz val="12"/>
        <color theme="1"/>
        <rFont val="Times New Roman"/>
        <family val="1"/>
      </rPr>
      <t>) -  que, após o devido preenchimento pela empresa proponente, automaticamente replicará o "valor mensal por trabalhador" para o MÓDULO 5 de cada PCFP (Planilha de Custo de Formação de Preço).</t>
    </r>
  </si>
  <si>
    <t>*Percentuais de custo indireto e de lucro retirados do comprasnet, Manual de Orientação para Preenchimento da Planilha de Custos e Formação de Preços (PCFP) para serviços de vigilância;
* Dúvidas sobre a metodologia de cálculo poderão ser esclarecidas com a leitura dos Cadernos Técnicos de divulgação de valores limites em:
1. https://www.gov.br/compras/pt-br/agente-publico/cadernos-tecnicos-e-valores-limites.
2. https://www.gov.br/compras/pt-br/agente-publico/orientacoes-e-procedimentos/11-orientacoes-gerais-para-planilha-de-custos-e-formacao-de-precos;</t>
  </si>
  <si>
    <t xml:space="preserve">Licitação Eletrônica nº </t>
  </si>
  <si>
    <t>303/2025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</si>
</sst>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R$&quot;\ * #,##0.00_-;\-&quot;R$&quot;\ * #,##0.00_-;_-&quot;R$&quot;\ * &quot;-&quot;??_-;_-@_-"/>
    <numFmt numFmtId="43" formatCode="_-* #,##0.00_-;\-* #,##0.00_-;_-* &quot;-&quot;??_-;_-@_-"/>
    <numFmt numFmtId="164" formatCode="d/m/yyyy\ hh:mm"/>
    <numFmt numFmtId="165" formatCode="_(&quot;R$ &quot;* #,##0.00_);_(&quot;R$ &quot;* \(#,##0.00\);_(&quot;R$ &quot;* \-??_);_(@_)"/>
    <numFmt numFmtId="166" formatCode="0.000%"/>
    <numFmt numFmtId="167" formatCode="_(* #,##0.00_);_(* \(#,##0.00\);_(* \-??_);_(@_)"/>
    <numFmt numFmtId="168" formatCode="_-* #,##0.00_-;\-* #,##0.00_-;_-* \-??_-;_-@_-"/>
    <numFmt numFmtId="169" formatCode="0.0000%"/>
    <numFmt numFmtId="170" formatCode="0.000000"/>
    <numFmt numFmtId="171" formatCode="_-* #,##0.000_-;\-* #,##0.000_-;_-* \-??_-;_-@_-"/>
    <numFmt numFmtId="172" formatCode="_-* #,##0.00000_-;\-* #,##0.00000_-;_-* \-??_-;_-@_-"/>
    <numFmt numFmtId="173" formatCode="_(* #,##0_);_(* \(#,##0\);_(* \-??_);_(@_)"/>
    <numFmt numFmtId="174" formatCode="0.00000"/>
    <numFmt numFmtId="175" formatCode="[$R$-416]\ #,##0.00;[Red]\-[$R$-416]\ #,##0.00"/>
    <numFmt numFmtId="176" formatCode="&quot;R$&quot;\ #,##0.00"/>
    <numFmt numFmtId="177" formatCode="_(&quot;R$ &quot;* #,##0.00_);_(&quot;R$ &quot;* \(#,##0.00\);_(&quot;R$ &quot;* &quot;-&quot;??_);_(@_)"/>
    <numFmt numFmtId="178" formatCode="_-[$R$-416]\ * #,##0.00_-;\-[$R$-416]\ * #,##0.00_-;_-[$R$-416]\ * &quot;-&quot;??_-;_-@_-"/>
  </numFmts>
  <fonts count="65">
    <font>
      <sz val="10"/>
      <name val="Spranq eco sans"/>
    </font>
    <font>
      <sz val="11"/>
      <color theme="1"/>
      <name val="Calibri"/>
      <family val="2"/>
      <scheme val="minor"/>
    </font>
    <font>
      <sz val="11"/>
      <color theme="1"/>
      <name val="Calibri"/>
      <family val="2"/>
      <scheme val="minor"/>
    </font>
    <font>
      <sz val="11"/>
      <name val="Calibri"/>
      <family val="2"/>
      <charset val="1"/>
    </font>
    <font>
      <sz val="10"/>
      <name val="Arial Narrow"/>
      <family val="2"/>
    </font>
    <font>
      <b/>
      <sz val="10"/>
      <name val="Arial Narrow"/>
      <family val="2"/>
    </font>
    <font>
      <b/>
      <sz val="16"/>
      <name val="Arial Narrow"/>
      <family val="2"/>
    </font>
    <font>
      <sz val="10"/>
      <color indexed="10"/>
      <name val="Arial Narrow"/>
      <family val="2"/>
    </font>
    <font>
      <sz val="20"/>
      <name val="Arial Narrow"/>
      <family val="2"/>
    </font>
    <font>
      <sz val="9"/>
      <name val="Arial Narrow"/>
      <family val="2"/>
    </font>
    <font>
      <b/>
      <sz val="10"/>
      <color indexed="10"/>
      <name val="Arial Narrow"/>
      <family val="2"/>
    </font>
    <font>
      <b/>
      <sz val="9"/>
      <color indexed="8"/>
      <name val="Tahoma"/>
      <charset val="1"/>
    </font>
    <font>
      <sz val="9"/>
      <color indexed="8"/>
      <name val="Tahoma"/>
      <charset val="1"/>
    </font>
    <font>
      <b/>
      <sz val="12"/>
      <name val="Arial Narrow"/>
      <family val="2"/>
    </font>
    <font>
      <b/>
      <sz val="10"/>
      <name val="Spranq eco sans"/>
      <family val="2"/>
    </font>
    <font>
      <b/>
      <sz val="11"/>
      <name val="Arial Narrow"/>
      <family val="2"/>
    </font>
    <font>
      <b/>
      <sz val="10"/>
      <name val="Arial"/>
      <family val="2"/>
    </font>
    <font>
      <b/>
      <sz val="10"/>
      <color indexed="12"/>
      <name val="Arial Narrow"/>
      <family val="2"/>
    </font>
    <font>
      <sz val="10"/>
      <color indexed="12"/>
      <name val="Arial Narrow"/>
      <family val="2"/>
    </font>
    <font>
      <b/>
      <sz val="10"/>
      <color indexed="8"/>
      <name val="Arial Narrow"/>
      <family val="2"/>
    </font>
    <font>
      <b/>
      <i/>
      <sz val="10"/>
      <name val="Arial Narrow"/>
      <family val="2"/>
    </font>
    <font>
      <b/>
      <sz val="9"/>
      <color indexed="8"/>
      <name val="Tahoma"/>
      <family val="2"/>
    </font>
    <font>
      <sz val="11"/>
      <name val="Calibri"/>
      <family val="2"/>
    </font>
    <font>
      <sz val="10"/>
      <name val="Spranq eco sans"/>
    </font>
    <font>
      <sz val="9"/>
      <color indexed="81"/>
      <name val="Segoe UI"/>
      <family val="2"/>
    </font>
    <font>
      <b/>
      <sz val="15"/>
      <color theme="0"/>
      <name val="Arial Narrow"/>
      <family val="2"/>
    </font>
    <font>
      <b/>
      <sz val="12"/>
      <color theme="0"/>
      <name val="Arial Narrow"/>
      <family val="2"/>
    </font>
    <font>
      <b/>
      <sz val="12"/>
      <color theme="0"/>
      <name val="Calibri"/>
      <family val="2"/>
      <charset val="1"/>
    </font>
    <font>
      <sz val="12"/>
      <name val="Spranq eco sans"/>
    </font>
    <font>
      <b/>
      <sz val="11"/>
      <name val="Calibri"/>
      <family val="2"/>
    </font>
    <font>
      <sz val="8"/>
      <name val="Calibri"/>
      <family val="2"/>
    </font>
    <font>
      <b/>
      <sz val="10"/>
      <color theme="1"/>
      <name val="Arial Narrow"/>
      <family val="2"/>
    </font>
    <font>
      <b/>
      <sz val="10"/>
      <color theme="0"/>
      <name val="Arial Narrow"/>
      <family val="2"/>
    </font>
    <font>
      <b/>
      <sz val="9"/>
      <color indexed="81"/>
      <name val="Segoe UI"/>
      <family val="2"/>
    </font>
    <font>
      <b/>
      <sz val="11"/>
      <color theme="0"/>
      <name val="Arial Narrow"/>
      <family val="2"/>
    </font>
    <font>
      <b/>
      <sz val="12"/>
      <color theme="0"/>
      <name val="Spranq eco sans"/>
    </font>
    <font>
      <b/>
      <sz val="12"/>
      <color rgb="FF0000CC"/>
      <name val="Spranq eco sans"/>
    </font>
    <font>
      <sz val="10"/>
      <name val="Arial"/>
      <family val="2"/>
    </font>
    <font>
      <b/>
      <sz val="12"/>
      <name val="Garamond"/>
      <family val="1"/>
    </font>
    <font>
      <b/>
      <sz val="12"/>
      <color theme="0" tint="-4.9989318521683403E-2"/>
      <name val="Arial Narrow"/>
      <family val="2"/>
    </font>
    <font>
      <b/>
      <sz val="15"/>
      <color theme="0" tint="-4.9989318521683403E-2"/>
      <name val="Arial Narrow"/>
      <family val="2"/>
    </font>
    <font>
      <b/>
      <sz val="16"/>
      <color theme="0"/>
      <name val="Arial Narrow"/>
      <family val="2"/>
    </font>
    <font>
      <b/>
      <sz val="18"/>
      <color theme="0"/>
      <name val="Arial Narrow"/>
      <family val="2"/>
    </font>
    <font>
      <b/>
      <sz val="16"/>
      <color theme="0" tint="-4.9989318521683403E-2"/>
      <name val="Arial Narrow"/>
      <family val="2"/>
    </font>
    <font>
      <sz val="10"/>
      <color theme="1"/>
      <name val="Arial Narrow"/>
      <family val="2"/>
    </font>
    <font>
      <b/>
      <sz val="14"/>
      <color theme="0"/>
      <name val="Arial Narrow"/>
      <family val="2"/>
    </font>
    <font>
      <sz val="10"/>
      <color theme="0"/>
      <name val="Arial Narrow"/>
      <family val="2"/>
    </font>
    <font>
      <sz val="12"/>
      <color theme="0"/>
      <name val="Calibri"/>
      <family val="2"/>
      <charset val="1"/>
    </font>
    <font>
      <b/>
      <sz val="10"/>
      <color theme="0"/>
      <name val="Calibri"/>
      <family val="2"/>
      <charset val="1"/>
    </font>
    <font>
      <b/>
      <sz val="8"/>
      <name val="Calibri"/>
      <family val="2"/>
    </font>
    <font>
      <sz val="10"/>
      <color theme="0"/>
      <name val="Calibri"/>
      <family val="2"/>
    </font>
    <font>
      <sz val="10"/>
      <name val="Calibri"/>
      <family val="2"/>
    </font>
    <font>
      <b/>
      <sz val="12"/>
      <name val="Calibri"/>
      <family val="2"/>
      <charset val="1"/>
    </font>
    <font>
      <sz val="11"/>
      <name val="Arial Narrow"/>
      <family val="2"/>
    </font>
    <font>
      <sz val="11"/>
      <color theme="0"/>
      <name val="Spranq eco sans"/>
    </font>
    <font>
      <b/>
      <sz val="15"/>
      <color theme="2"/>
      <name val="Arial Narrow"/>
      <family val="2"/>
    </font>
    <font>
      <sz val="12"/>
      <color theme="1"/>
      <name val="Times New Roman"/>
      <family val="1"/>
    </font>
    <font>
      <b/>
      <sz val="12"/>
      <color theme="1"/>
      <name val="Times New Roman"/>
      <family val="1"/>
    </font>
    <font>
      <sz val="12"/>
      <name val="Times New Roman"/>
      <family val="1"/>
    </font>
    <font>
      <b/>
      <sz val="18"/>
      <color theme="0"/>
      <name val="Times New Roman"/>
      <family val="1"/>
    </font>
    <font>
      <b/>
      <sz val="12"/>
      <color rgb="FFC00000"/>
      <name val="Times New Roman"/>
      <family val="1"/>
    </font>
    <font>
      <u/>
      <sz val="12"/>
      <color theme="1"/>
      <name val="Times New Roman"/>
      <family val="1"/>
    </font>
    <font>
      <b/>
      <sz val="12"/>
      <color rgb="FF800000"/>
      <name val="Times New Roman"/>
      <family val="1"/>
    </font>
    <font>
      <b/>
      <sz val="14"/>
      <color theme="0"/>
      <name val="Times New Roman"/>
      <family val="1"/>
    </font>
    <font>
      <b/>
      <sz val="12"/>
      <color rgb="FF0000CC"/>
      <name val="Times New Roman"/>
      <family val="1"/>
    </font>
  </fonts>
  <fills count="36">
    <fill>
      <patternFill patternType="none"/>
    </fill>
    <fill>
      <patternFill patternType="gray125"/>
    </fill>
    <fill>
      <patternFill patternType="solid">
        <fgColor indexed="42"/>
        <bgColor indexed="27"/>
      </patternFill>
    </fill>
    <fill>
      <patternFill patternType="solid">
        <fgColor indexed="22"/>
        <bgColor indexed="31"/>
      </patternFill>
    </fill>
    <fill>
      <patternFill patternType="solid">
        <fgColor indexed="27"/>
        <bgColor indexed="41"/>
      </patternFill>
    </fill>
    <fill>
      <patternFill patternType="solid">
        <fgColor indexed="47"/>
        <bgColor indexed="22"/>
      </patternFill>
    </fill>
    <fill>
      <patternFill patternType="solid">
        <fgColor indexed="43"/>
        <bgColor indexed="26"/>
      </patternFill>
    </fill>
    <fill>
      <patternFill patternType="solid">
        <fgColor theme="2" tint="-0.749992370372631"/>
        <bgColor indexed="22"/>
      </patternFill>
    </fill>
    <fill>
      <patternFill patternType="solid">
        <fgColor theme="2" tint="-0.499984740745262"/>
        <bgColor indexed="31"/>
      </patternFill>
    </fill>
    <fill>
      <patternFill patternType="solid">
        <fgColor theme="0"/>
        <bgColor indexed="64"/>
      </patternFill>
    </fill>
    <fill>
      <patternFill patternType="solid">
        <fgColor theme="2" tint="-0.249977111117893"/>
        <bgColor indexed="22"/>
      </patternFill>
    </fill>
    <fill>
      <patternFill patternType="solid">
        <fgColor theme="8" tint="0.79998168889431442"/>
        <bgColor indexed="64"/>
      </patternFill>
    </fill>
    <fill>
      <patternFill patternType="solid">
        <fgColor theme="8" tint="0.59999389629810485"/>
        <bgColor indexed="41"/>
      </patternFill>
    </fill>
    <fill>
      <patternFill patternType="solid">
        <fgColor theme="8" tint="0.59999389629810485"/>
        <bgColor indexed="64"/>
      </patternFill>
    </fill>
    <fill>
      <patternFill patternType="solid">
        <fgColor theme="2" tint="-0.749992370372631"/>
        <bgColor indexed="51"/>
      </patternFill>
    </fill>
    <fill>
      <patternFill patternType="solid">
        <fgColor theme="1" tint="0.499984740745262"/>
        <bgColor indexed="13"/>
      </patternFill>
    </fill>
    <fill>
      <patternFill patternType="solid">
        <fgColor theme="0" tint="-0.14999847407452621"/>
        <bgColor indexed="41"/>
      </patternFill>
    </fill>
    <fill>
      <patternFill patternType="solid">
        <fgColor theme="0" tint="-0.14999847407452621"/>
        <bgColor indexed="64"/>
      </patternFill>
    </fill>
    <fill>
      <patternFill patternType="solid">
        <fgColor theme="0" tint="-0.14999847407452621"/>
        <bgColor indexed="26"/>
      </patternFill>
    </fill>
    <fill>
      <patternFill patternType="solid">
        <fgColor theme="0"/>
        <bgColor indexed="31"/>
      </patternFill>
    </fill>
    <fill>
      <patternFill patternType="solid">
        <fgColor theme="3"/>
        <bgColor indexed="22"/>
      </patternFill>
    </fill>
    <fill>
      <patternFill patternType="solid">
        <fgColor theme="1" tint="0.249977111117893"/>
        <bgColor indexed="64"/>
      </patternFill>
    </fill>
    <fill>
      <patternFill patternType="solid">
        <fgColor theme="2" tint="-0.249977111117893"/>
        <bgColor indexed="51"/>
      </patternFill>
    </fill>
    <fill>
      <patternFill patternType="solid">
        <fgColor theme="1" tint="0.34998626667073579"/>
        <bgColor indexed="64"/>
      </patternFill>
    </fill>
    <fill>
      <patternFill patternType="solid">
        <fgColor theme="8" tint="0.59999389629810485"/>
        <bgColor rgb="FF000000"/>
      </patternFill>
    </fill>
    <fill>
      <patternFill patternType="solid">
        <fgColor theme="0" tint="-0.14999847407452621"/>
        <bgColor rgb="FF000000"/>
      </patternFill>
    </fill>
    <fill>
      <patternFill patternType="solid">
        <fgColor theme="1" tint="0.34998626667073579"/>
        <bgColor indexed="22"/>
      </patternFill>
    </fill>
    <fill>
      <patternFill patternType="solid">
        <fgColor theme="1" tint="0.14999847407452621"/>
        <bgColor indexed="22"/>
      </patternFill>
    </fill>
    <fill>
      <patternFill patternType="solid">
        <fgColor theme="2"/>
        <bgColor indexed="64"/>
      </patternFill>
    </fill>
    <fill>
      <patternFill patternType="solid">
        <fgColor theme="2" tint="-0.249977111117893"/>
        <bgColor indexed="64"/>
      </patternFill>
    </fill>
    <fill>
      <patternFill patternType="solid">
        <fgColor theme="1" tint="0.499984740745262"/>
        <bgColor indexed="51"/>
      </patternFill>
    </fill>
    <fill>
      <patternFill patternType="solid">
        <fgColor theme="2" tint="-0.499984740745262"/>
        <bgColor indexed="64"/>
      </patternFill>
    </fill>
    <fill>
      <patternFill patternType="solid">
        <fgColor theme="4" tint="0.39997558519241921"/>
        <bgColor indexed="64"/>
      </patternFill>
    </fill>
    <fill>
      <patternFill patternType="solid">
        <fgColor theme="3" tint="-0.249977111117893"/>
        <bgColor indexed="64"/>
      </patternFill>
    </fill>
    <fill>
      <patternFill patternType="solid">
        <fgColor theme="0" tint="-0.34998626667073579"/>
        <bgColor indexed="64"/>
      </patternFill>
    </fill>
    <fill>
      <patternFill patternType="solid">
        <fgColor theme="2" tint="-0.749992370372631"/>
        <bgColor indexed="64"/>
      </patternFill>
    </fill>
  </fills>
  <borders count="98">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thin">
        <color indexed="8"/>
      </right>
      <top/>
      <bottom/>
      <diagonal/>
    </border>
    <border>
      <left style="medium">
        <color indexed="64"/>
      </left>
      <right/>
      <top style="medium">
        <color indexed="64"/>
      </top>
      <bottom style="thin">
        <color indexed="8"/>
      </bottom>
      <diagonal/>
    </border>
    <border>
      <left style="thin">
        <color indexed="8"/>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8"/>
      </top>
      <bottom style="medium">
        <color indexed="64"/>
      </bottom>
      <diagonal/>
    </border>
    <border>
      <left style="medium">
        <color indexed="64"/>
      </left>
      <right style="thin">
        <color indexed="8"/>
      </right>
      <top style="thin">
        <color indexed="8"/>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8"/>
      </left>
      <right/>
      <top style="thin">
        <color indexed="8"/>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8"/>
      </left>
      <right/>
      <top/>
      <bottom/>
      <diagonal/>
    </border>
    <border>
      <left style="medium">
        <color indexed="64"/>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8"/>
      </right>
      <top style="medium">
        <color indexed="64"/>
      </top>
      <bottom style="thin">
        <color indexed="8"/>
      </bottom>
      <diagonal/>
    </border>
    <border>
      <left/>
      <right style="medium">
        <color indexed="64"/>
      </right>
      <top style="thin">
        <color indexed="8"/>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8"/>
      </right>
      <top style="medium">
        <color indexed="64"/>
      </top>
      <bottom style="thin">
        <color indexed="8"/>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n">
        <color indexed="8"/>
      </right>
      <top style="thin">
        <color indexed="8"/>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style="thin">
        <color indexed="8"/>
      </left>
      <right style="thin">
        <color indexed="8"/>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8"/>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8"/>
      </left>
      <right style="thin">
        <color indexed="8"/>
      </right>
      <top style="medium">
        <color indexed="64"/>
      </top>
      <bottom style="thin">
        <color indexed="8"/>
      </bottom>
      <diagonal/>
    </border>
    <border>
      <left style="medium">
        <color indexed="64"/>
      </left>
      <right/>
      <top style="thin">
        <color indexed="8"/>
      </top>
      <bottom style="medium">
        <color indexed="64"/>
      </bottom>
      <diagonal/>
    </border>
    <border>
      <left/>
      <right style="medium">
        <color indexed="64"/>
      </right>
      <top style="thin">
        <color indexed="64"/>
      </top>
      <bottom/>
      <diagonal/>
    </border>
    <border>
      <left style="thin">
        <color indexed="8"/>
      </left>
      <right style="medium">
        <color indexed="64"/>
      </right>
      <top/>
      <bottom style="thin">
        <color indexed="8"/>
      </bottom>
      <diagonal/>
    </border>
    <border>
      <left/>
      <right style="medium">
        <color indexed="64"/>
      </right>
      <top style="thin">
        <color indexed="8"/>
      </top>
      <bottom style="medium">
        <color indexed="64"/>
      </bottom>
      <diagonal/>
    </border>
    <border>
      <left style="medium">
        <color indexed="64"/>
      </left>
      <right/>
      <top style="thin">
        <color indexed="8"/>
      </top>
      <bottom/>
      <diagonal/>
    </border>
    <border>
      <left style="medium">
        <color indexed="64"/>
      </left>
      <right/>
      <top/>
      <bottom style="thin">
        <color indexed="8"/>
      </bottom>
      <diagonal/>
    </border>
    <border>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style="medium">
        <color indexed="64"/>
      </right>
      <top/>
      <bottom style="thin">
        <color indexed="8"/>
      </bottom>
      <diagonal/>
    </border>
    <border>
      <left/>
      <right style="thin">
        <color indexed="8"/>
      </right>
      <top/>
      <bottom style="medium">
        <color indexed="64"/>
      </bottom>
      <diagonal/>
    </border>
    <border>
      <left style="thin">
        <color indexed="8"/>
      </left>
      <right/>
      <top style="thin">
        <color indexed="64"/>
      </top>
      <bottom style="medium">
        <color indexed="64"/>
      </bottom>
      <diagonal/>
    </border>
    <border>
      <left style="thin">
        <color indexed="8"/>
      </left>
      <right/>
      <top style="thin">
        <color indexed="8"/>
      </top>
      <bottom style="thin">
        <color indexed="64"/>
      </bottom>
      <diagonal/>
    </border>
    <border>
      <left/>
      <right style="medium">
        <color indexed="64"/>
      </right>
      <top style="thin">
        <color indexed="8"/>
      </top>
      <bottom style="thin">
        <color indexed="64"/>
      </bottom>
      <diagonal/>
    </border>
  </borders>
  <cellStyleXfs count="12">
    <xf numFmtId="0" fontId="0" fillId="0" borderId="0"/>
    <xf numFmtId="165" fontId="23" fillId="0" borderId="0" applyFill="0" applyBorder="0" applyAlignment="0" applyProtection="0"/>
    <xf numFmtId="164" fontId="3" fillId="0" borderId="0" applyBorder="0" applyProtection="0"/>
    <xf numFmtId="0" fontId="3" fillId="0" borderId="0"/>
    <xf numFmtId="9" fontId="23" fillId="0" borderId="0" applyFill="0" applyBorder="0" applyAlignment="0" applyProtection="0"/>
    <xf numFmtId="167" fontId="23" fillId="0" borderId="0" applyFill="0" applyBorder="0" applyAlignment="0" applyProtection="0"/>
    <xf numFmtId="0" fontId="37" fillId="0" borderId="0"/>
    <xf numFmtId="9" fontId="2" fillId="0" borderId="0" applyFont="0" applyFill="0" applyBorder="0" applyAlignment="0" applyProtection="0"/>
    <xf numFmtId="0" fontId="37" fillId="0" borderId="0"/>
    <xf numFmtId="177" fontId="2" fillId="0" borderId="0" applyFont="0" applyFill="0" applyBorder="0" applyAlignment="0" applyProtection="0"/>
    <xf numFmtId="167" fontId="37" fillId="0" borderId="0" applyFill="0" applyBorder="0" applyAlignment="0" applyProtection="0"/>
    <xf numFmtId="43" fontId="1" fillId="0" borderId="0" applyFont="0" applyFill="0" applyBorder="0" applyAlignment="0" applyProtection="0"/>
  </cellStyleXfs>
  <cellXfs count="649">
    <xf numFmtId="0" fontId="0" fillId="0" borderId="0" xfId="0"/>
    <xf numFmtId="0" fontId="4" fillId="0" borderId="0" xfId="0" applyFont="1" applyAlignment="1" applyProtection="1">
      <alignment vertical="center"/>
    </xf>
    <xf numFmtId="165" fontId="4" fillId="0" borderId="0" xfId="1" applyFont="1" applyFill="1" applyBorder="1" applyAlignment="1" applyProtection="1">
      <alignment vertical="center"/>
    </xf>
    <xf numFmtId="0" fontId="4" fillId="2" borderId="1" xfId="0" applyFont="1" applyFill="1" applyBorder="1" applyAlignment="1" applyProtection="1">
      <alignment vertical="center"/>
      <protection locked="0"/>
    </xf>
    <xf numFmtId="0" fontId="4" fillId="0" borderId="2" xfId="0" applyFont="1" applyBorder="1" applyAlignment="1" applyProtection="1">
      <alignment vertical="center"/>
    </xf>
    <xf numFmtId="0" fontId="4" fillId="0" borderId="2" xfId="0" applyFont="1" applyBorder="1" applyAlignment="1" applyProtection="1">
      <alignment horizontal="right" vertical="center"/>
    </xf>
    <xf numFmtId="0" fontId="4" fillId="0" borderId="0" xfId="0" applyFont="1" applyAlignment="1" applyProtection="1">
      <alignment horizontal="center" vertical="center"/>
    </xf>
    <xf numFmtId="0" fontId="5" fillId="3" borderId="3" xfId="0" applyFont="1" applyFill="1" applyBorder="1" applyAlignment="1" applyProtection="1">
      <alignment vertical="center"/>
    </xf>
    <xf numFmtId="0" fontId="5" fillId="3" borderId="2" xfId="0" applyFont="1" applyFill="1" applyBorder="1" applyAlignment="1" applyProtection="1">
      <alignment vertical="center"/>
    </xf>
    <xf numFmtId="0" fontId="8" fillId="0" borderId="0" xfId="0" applyFont="1" applyAlignment="1" applyProtection="1">
      <alignment vertical="center"/>
    </xf>
    <xf numFmtId="167" fontId="4" fillId="0" borderId="0" xfId="0" applyNumberFormat="1" applyFont="1" applyAlignment="1" applyProtection="1">
      <alignment vertical="center"/>
    </xf>
    <xf numFmtId="0" fontId="13" fillId="0" borderId="0" xfId="0" applyFont="1"/>
    <xf numFmtId="0" fontId="4" fillId="0" borderId="0" xfId="0" applyFont="1"/>
    <xf numFmtId="0" fontId="4" fillId="0" borderId="1" xfId="0" applyFont="1" applyBorder="1"/>
    <xf numFmtId="167" fontId="4" fillId="0" borderId="1" xfId="5" applyNumberFormat="1" applyFont="1" applyFill="1" applyBorder="1" applyAlignment="1" applyProtection="1"/>
    <xf numFmtId="167" fontId="4" fillId="0" borderId="1" xfId="5" applyFont="1" applyFill="1" applyBorder="1" applyAlignment="1" applyProtection="1"/>
    <xf numFmtId="9" fontId="4" fillId="4" borderId="1" xfId="4" applyFont="1" applyFill="1" applyBorder="1" applyAlignment="1" applyProtection="1">
      <protection locked="0"/>
    </xf>
    <xf numFmtId="0" fontId="4" fillId="0" borderId="1" xfId="0" applyFont="1" applyFill="1" applyBorder="1"/>
    <xf numFmtId="168" fontId="4" fillId="0" borderId="1" xfId="0" applyNumberFormat="1" applyFont="1" applyBorder="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4" fillId="4" borderId="1" xfId="0" applyFont="1" applyFill="1" applyBorder="1" applyAlignment="1" applyProtection="1">
      <alignment horizontal="center" vertical="center"/>
      <protection locked="0"/>
    </xf>
    <xf numFmtId="167" fontId="4" fillId="4" borderId="1" xfId="5" applyFont="1" applyFill="1" applyBorder="1" applyAlignment="1" applyProtection="1">
      <alignment vertical="center"/>
      <protection locked="0"/>
    </xf>
    <xf numFmtId="167" fontId="4" fillId="0" borderId="1" xfId="5" applyFont="1" applyFill="1" applyBorder="1" applyAlignment="1" applyProtection="1">
      <alignment vertical="center"/>
    </xf>
    <xf numFmtId="20" fontId="4" fillId="0" borderId="0" xfId="0" applyNumberFormat="1" applyFont="1"/>
    <xf numFmtId="21" fontId="4" fillId="0" borderId="0" xfId="0" applyNumberFormat="1" applyFont="1"/>
    <xf numFmtId="170" fontId="4" fillId="0" borderId="0" xfId="0" applyNumberFormat="1" applyFont="1"/>
    <xf numFmtId="0" fontId="4" fillId="0" borderId="4" xfId="0" applyFont="1" applyBorder="1" applyAlignment="1">
      <alignment vertical="center" wrapText="1"/>
    </xf>
    <xf numFmtId="0" fontId="4" fillId="0" borderId="4" xfId="0" applyFont="1" applyBorder="1" applyAlignment="1">
      <alignment horizontal="center" vertical="center"/>
    </xf>
    <xf numFmtId="9" fontId="4" fillId="4" borderId="4" xfId="4" applyFont="1" applyFill="1" applyBorder="1" applyAlignment="1" applyProtection="1">
      <alignment horizontal="center" vertical="center"/>
      <protection locked="0"/>
    </xf>
    <xf numFmtId="167" fontId="4" fillId="0" borderId="4" xfId="5" applyFont="1" applyFill="1" applyBorder="1" applyAlignment="1" applyProtection="1">
      <alignment vertical="center"/>
    </xf>
    <xf numFmtId="171" fontId="4" fillId="0" borderId="0" xfId="0" applyNumberFormat="1" applyFont="1"/>
    <xf numFmtId="0" fontId="5" fillId="0" borderId="3" xfId="0" applyFont="1" applyBorder="1" applyAlignment="1">
      <alignmen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xf>
    <xf numFmtId="0" fontId="5" fillId="0" borderId="2" xfId="0" applyFont="1" applyBorder="1" applyAlignment="1">
      <alignment vertical="center"/>
    </xf>
    <xf numFmtId="167" fontId="5" fillId="0" borderId="1" xfId="5" applyFont="1" applyFill="1" applyBorder="1" applyAlignment="1" applyProtection="1">
      <alignment vertical="center"/>
    </xf>
    <xf numFmtId="167" fontId="4" fillId="0" borderId="0" xfId="5" applyFont="1" applyFill="1" applyBorder="1" applyAlignment="1" applyProtection="1"/>
    <xf numFmtId="10" fontId="4" fillId="0" borderId="0" xfId="4" applyNumberFormat="1" applyFont="1" applyFill="1" applyBorder="1" applyAlignment="1" applyProtection="1"/>
    <xf numFmtId="172" fontId="4" fillId="0" borderId="0" xfId="0" applyNumberFormat="1" applyFont="1"/>
    <xf numFmtId="0" fontId="4" fillId="0" borderId="5" xfId="0" applyFont="1" applyBorder="1" applyAlignment="1">
      <alignment vertical="center" wrapText="1"/>
    </xf>
    <xf numFmtId="0" fontId="4" fillId="0" borderId="5" xfId="0" applyFont="1" applyBorder="1" applyAlignment="1">
      <alignment horizontal="center" vertical="center"/>
    </xf>
    <xf numFmtId="167" fontId="4" fillId="0" borderId="5" xfId="5" applyFont="1" applyFill="1" applyBorder="1" applyAlignment="1" applyProtection="1">
      <alignment vertical="center"/>
    </xf>
    <xf numFmtId="168" fontId="4" fillId="0" borderId="0" xfId="0" applyNumberFormat="1" applyFont="1"/>
    <xf numFmtId="167" fontId="5" fillId="0" borderId="2" xfId="5" applyFont="1" applyFill="1" applyBorder="1" applyAlignment="1" applyProtection="1">
      <alignment vertical="center"/>
    </xf>
    <xf numFmtId="0" fontId="14" fillId="0" borderId="0" xfId="0" applyFont="1"/>
    <xf numFmtId="0" fontId="5" fillId="0" borderId="0" xfId="0" applyFont="1"/>
    <xf numFmtId="173" fontId="5" fillId="0" borderId="1" xfId="5" applyNumberFormat="1" applyFont="1" applyFill="1" applyBorder="1" applyAlignment="1" applyProtection="1">
      <alignment vertical="center"/>
    </xf>
    <xf numFmtId="172" fontId="5" fillId="0" borderId="0" xfId="0" applyNumberFormat="1" applyFont="1"/>
    <xf numFmtId="168" fontId="5" fillId="0" borderId="0" xfId="0" applyNumberFormat="1" applyFont="1"/>
    <xf numFmtId="0" fontId="0" fillId="0" borderId="0" xfId="0" applyAlignment="1">
      <alignment wrapText="1"/>
    </xf>
    <xf numFmtId="0" fontId="4" fillId="0" borderId="3"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Fill="1" applyAlignment="1" applyProtection="1">
      <alignment vertical="center"/>
    </xf>
    <xf numFmtId="0" fontId="4" fillId="0" borderId="0" xfId="0" applyFont="1" applyFill="1" applyBorder="1" applyAlignment="1" applyProtection="1">
      <alignment vertical="center"/>
    </xf>
    <xf numFmtId="167" fontId="4" fillId="0" borderId="0" xfId="5" applyFont="1" applyFill="1" applyBorder="1" applyAlignment="1" applyProtection="1">
      <alignment vertical="center"/>
    </xf>
    <xf numFmtId="0" fontId="4" fillId="0" borderId="6" xfId="0" applyFont="1" applyBorder="1" applyAlignment="1" applyProtection="1">
      <alignment vertical="center"/>
    </xf>
    <xf numFmtId="0" fontId="4" fillId="0" borderId="2" xfId="0" applyNumberFormat="1" applyFont="1" applyBorder="1" applyAlignment="1" applyProtection="1">
      <alignment horizontal="center" vertical="center"/>
    </xf>
    <xf numFmtId="0" fontId="5" fillId="0" borderId="0" xfId="0" applyFont="1" applyAlignment="1" applyProtection="1">
      <alignment vertical="center"/>
    </xf>
    <xf numFmtId="0" fontId="4" fillId="0" borderId="1" xfId="0" applyFont="1" applyBorder="1" applyAlignment="1" applyProtection="1">
      <alignment vertical="center"/>
    </xf>
    <xf numFmtId="168" fontId="4" fillId="0" borderId="0" xfId="0" applyNumberFormat="1" applyFont="1" applyAlignment="1" applyProtection="1">
      <alignment vertical="center"/>
    </xf>
    <xf numFmtId="166" fontId="4" fillId="0" borderId="0" xfId="0" applyNumberFormat="1" applyFont="1" applyAlignment="1" applyProtection="1">
      <alignment vertical="center"/>
    </xf>
    <xf numFmtId="174" fontId="4" fillId="0" borderId="0" xfId="0" applyNumberFormat="1" applyFont="1" applyAlignment="1" applyProtection="1">
      <alignment vertical="center"/>
    </xf>
    <xf numFmtId="0" fontId="4" fillId="0" borderId="1" xfId="0" applyFont="1" applyFill="1" applyBorder="1" applyAlignment="1" applyProtection="1">
      <alignment horizontal="center" vertical="center" wrapText="1"/>
    </xf>
    <xf numFmtId="0" fontId="4" fillId="0" borderId="3" xfId="0" applyFont="1" applyFill="1" applyBorder="1" applyAlignment="1" applyProtection="1">
      <alignment vertical="center"/>
    </xf>
    <xf numFmtId="0" fontId="4" fillId="0" borderId="2" xfId="0" applyFont="1" applyFill="1" applyBorder="1" applyAlignment="1" applyProtection="1">
      <alignment vertical="center"/>
    </xf>
    <xf numFmtId="0" fontId="7" fillId="0" borderId="2" xfId="0" applyFont="1" applyFill="1" applyBorder="1" applyAlignment="1" applyProtection="1">
      <alignment horizontal="left" vertical="center" shrinkToFit="1"/>
    </xf>
    <xf numFmtId="9" fontId="4" fillId="0" borderId="0" xfId="4" applyFont="1" applyFill="1" applyBorder="1" applyAlignment="1" applyProtection="1">
      <alignment vertical="center"/>
    </xf>
    <xf numFmtId="166" fontId="5" fillId="0" borderId="1" xfId="4" applyNumberFormat="1" applyFont="1" applyFill="1" applyBorder="1" applyAlignment="1" applyProtection="1">
      <alignment horizontal="center" vertical="center"/>
    </xf>
    <xf numFmtId="10" fontId="4" fillId="0" borderId="1" xfId="4" applyNumberFormat="1" applyFont="1" applyFill="1" applyBorder="1" applyAlignment="1" applyProtection="1">
      <alignment vertical="center"/>
    </xf>
    <xf numFmtId="0" fontId="5" fillId="0" borderId="0" xfId="0" applyFont="1" applyFill="1" applyBorder="1" applyAlignment="1" applyProtection="1">
      <alignment vertical="center"/>
    </xf>
    <xf numFmtId="168" fontId="5" fillId="0" borderId="0" xfId="0" applyNumberFormat="1" applyFont="1" applyFill="1" applyBorder="1" applyAlignment="1" applyProtection="1">
      <alignment vertical="center"/>
    </xf>
    <xf numFmtId="0" fontId="28" fillId="0" borderId="0" xfId="0" applyFont="1"/>
    <xf numFmtId="0" fontId="4" fillId="0" borderId="1" xfId="0" applyFont="1" applyBorder="1" applyAlignment="1" applyProtection="1">
      <alignment horizontal="left" vertical="center"/>
    </xf>
    <xf numFmtId="166" fontId="4" fillId="0" borderId="1" xfId="4" applyNumberFormat="1" applyFont="1" applyFill="1" applyBorder="1" applyAlignment="1" applyProtection="1">
      <alignment horizontal="center" vertical="center"/>
    </xf>
    <xf numFmtId="0" fontId="5" fillId="10" borderId="3" xfId="0" applyFont="1" applyFill="1" applyBorder="1" applyAlignment="1" applyProtection="1">
      <alignment vertical="center"/>
    </xf>
    <xf numFmtId="0" fontId="5" fillId="10" borderId="2" xfId="0" applyFont="1" applyFill="1" applyBorder="1" applyAlignment="1" applyProtection="1">
      <alignment vertical="center"/>
    </xf>
    <xf numFmtId="0" fontId="5" fillId="10" borderId="6" xfId="0" applyFont="1" applyFill="1" applyBorder="1" applyAlignment="1" applyProtection="1">
      <alignment vertical="center"/>
    </xf>
    <xf numFmtId="0" fontId="5" fillId="10" borderId="2" xfId="0" applyFont="1" applyFill="1" applyBorder="1" applyAlignment="1" applyProtection="1">
      <alignment vertical="center" wrapText="1"/>
    </xf>
    <xf numFmtId="0" fontId="5" fillId="10" borderId="6" xfId="0" applyFont="1" applyFill="1" applyBorder="1" applyAlignment="1" applyProtection="1">
      <alignment vertical="center" wrapText="1"/>
    </xf>
    <xf numFmtId="9" fontId="5" fillId="10" borderId="1" xfId="4" applyFont="1" applyFill="1" applyBorder="1" applyAlignment="1" applyProtection="1">
      <alignment horizontal="center" vertical="center"/>
    </xf>
    <xf numFmtId="9" fontId="5" fillId="10" borderId="5" xfId="4" applyFont="1" applyFill="1" applyBorder="1" applyAlignment="1" applyProtection="1">
      <alignment horizontal="center" vertical="center"/>
    </xf>
    <xf numFmtId="166" fontId="4" fillId="17" borderId="1" xfId="4" applyNumberFormat="1" applyFont="1" applyFill="1" applyBorder="1" applyAlignment="1" applyProtection="1">
      <alignment horizontal="center" vertical="center"/>
    </xf>
    <xf numFmtId="43" fontId="0" fillId="0" borderId="0" xfId="0" applyNumberFormat="1"/>
    <xf numFmtId="0" fontId="27" fillId="19" borderId="0" xfId="3" applyFont="1" applyFill="1" applyBorder="1" applyAlignment="1" applyProtection="1">
      <alignment vertical="center"/>
    </xf>
    <xf numFmtId="165" fontId="27" fillId="8" borderId="28" xfId="2" applyNumberFormat="1" applyFont="1" applyFill="1" applyBorder="1" applyAlignment="1" applyProtection="1">
      <alignment horizontal="center" vertical="center"/>
    </xf>
    <xf numFmtId="1" fontId="3" fillId="0" borderId="31" xfId="3" applyNumberFormat="1" applyFont="1" applyBorder="1" applyAlignment="1" applyProtection="1">
      <alignment horizontal="center" vertical="center"/>
    </xf>
    <xf numFmtId="0" fontId="3" fillId="0" borderId="31" xfId="3" applyFont="1" applyBorder="1" applyAlignment="1" applyProtection="1">
      <alignment horizontal="center" vertical="center"/>
    </xf>
    <xf numFmtId="43" fontId="3" fillId="17" borderId="31" xfId="2" applyNumberFormat="1" applyFont="1" applyFill="1" applyBorder="1" applyAlignment="1" applyProtection="1">
      <alignment horizontal="center" vertical="center"/>
    </xf>
    <xf numFmtId="1" fontId="3" fillId="0" borderId="43" xfId="3" applyNumberFormat="1" applyFont="1" applyBorder="1" applyAlignment="1" applyProtection="1">
      <alignment horizontal="center" vertical="center"/>
    </xf>
    <xf numFmtId="0" fontId="3" fillId="0" borderId="43" xfId="3" applyFont="1" applyBorder="1" applyAlignment="1" applyProtection="1">
      <alignment horizontal="center" vertical="center"/>
    </xf>
    <xf numFmtId="43" fontId="3" fillId="17" borderId="43" xfId="2" applyNumberFormat="1" applyFont="1" applyFill="1" applyBorder="1" applyAlignment="1" applyProtection="1">
      <alignment horizontal="center" vertical="center"/>
    </xf>
    <xf numFmtId="165" fontId="3" fillId="17" borderId="44" xfId="2" applyNumberFormat="1" applyFont="1" applyFill="1" applyBorder="1" applyAlignment="1" applyProtection="1">
      <alignment horizontal="center" vertical="center"/>
    </xf>
    <xf numFmtId="0" fontId="35" fillId="21" borderId="0" xfId="0" applyFont="1" applyFill="1" applyAlignment="1">
      <alignment horizontal="center" vertical="center"/>
    </xf>
    <xf numFmtId="0" fontId="3" fillId="11" borderId="31" xfId="3" applyFont="1" applyFill="1" applyBorder="1" applyAlignment="1" applyProtection="1">
      <alignment horizontal="center" vertical="center"/>
    </xf>
    <xf numFmtId="165" fontId="3" fillId="17" borderId="41" xfId="2" applyNumberFormat="1" applyFont="1" applyFill="1" applyBorder="1" applyAlignment="1" applyProtection="1">
      <alignment horizontal="center" vertical="center"/>
    </xf>
    <xf numFmtId="0" fontId="28" fillId="0" borderId="29" xfId="0" applyFont="1" applyBorder="1" applyAlignment="1">
      <alignment horizontal="center" vertical="center" wrapText="1"/>
    </xf>
    <xf numFmtId="1" fontId="29" fillId="17" borderId="31" xfId="3" applyNumberFormat="1" applyFont="1" applyFill="1" applyBorder="1" applyAlignment="1" applyProtection="1">
      <alignment horizontal="center" vertical="center"/>
    </xf>
    <xf numFmtId="0" fontId="5" fillId="10" borderId="1" xfId="0" applyFont="1" applyFill="1" applyBorder="1" applyAlignment="1" applyProtection="1">
      <alignment horizontal="center" vertical="center" wrapText="1"/>
    </xf>
    <xf numFmtId="9" fontId="32" fillId="20" borderId="1" xfId="4" applyFont="1" applyFill="1" applyBorder="1" applyAlignment="1" applyProtection="1">
      <alignment horizontal="center" vertical="center"/>
    </xf>
    <xf numFmtId="0" fontId="5" fillId="24" borderId="31" xfId="0" applyFont="1" applyFill="1" applyBorder="1" applyAlignment="1">
      <alignment horizontal="center" vertical="center"/>
    </xf>
    <xf numFmtId="0" fontId="5" fillId="25" borderId="31" xfId="0" applyFont="1" applyFill="1" applyBorder="1" applyAlignment="1">
      <alignment horizontal="center" vertical="center"/>
    </xf>
    <xf numFmtId="0" fontId="3" fillId="0" borderId="0" xfId="3"/>
    <xf numFmtId="168" fontId="13" fillId="15" borderId="29" xfId="0" applyNumberFormat="1" applyFont="1" applyFill="1" applyBorder="1" applyAlignment="1" applyProtection="1">
      <alignment vertical="center"/>
    </xf>
    <xf numFmtId="0" fontId="4" fillId="0" borderId="1" xfId="5" applyNumberFormat="1" applyFont="1" applyFill="1" applyBorder="1" applyAlignment="1" applyProtection="1">
      <alignment horizontal="center" vertical="center"/>
    </xf>
    <xf numFmtId="0" fontId="4" fillId="0" borderId="18" xfId="0" applyFont="1" applyBorder="1" applyAlignment="1" applyProtection="1">
      <alignment horizontal="center" vertical="center"/>
    </xf>
    <xf numFmtId="0" fontId="4" fillId="0" borderId="19" xfId="5" applyNumberFormat="1" applyFont="1" applyFill="1" applyBorder="1" applyAlignment="1" applyProtection="1">
      <alignment horizontal="center" vertical="center"/>
    </xf>
    <xf numFmtId="0" fontId="4" fillId="0" borderId="20" xfId="0" applyFont="1" applyBorder="1" applyAlignment="1" applyProtection="1">
      <alignment horizontal="center" vertical="center"/>
    </xf>
    <xf numFmtId="0" fontId="4" fillId="0" borderId="37" xfId="0" applyFont="1" applyBorder="1" applyAlignment="1" applyProtection="1">
      <alignment vertical="center"/>
    </xf>
    <xf numFmtId="0" fontId="4" fillId="0" borderId="33" xfId="0" applyFont="1" applyBorder="1" applyAlignment="1" applyProtection="1">
      <alignment vertical="center"/>
    </xf>
    <xf numFmtId="0" fontId="4" fillId="0" borderId="61" xfId="0" applyFont="1" applyBorder="1" applyAlignment="1" applyProtection="1">
      <alignment horizontal="center" vertical="center"/>
    </xf>
    <xf numFmtId="0" fontId="4" fillId="0" borderId="16" xfId="0" applyFont="1" applyBorder="1" applyAlignment="1" applyProtection="1">
      <alignment vertical="center"/>
    </xf>
    <xf numFmtId="0" fontId="4" fillId="0" borderId="35" xfId="0" applyFont="1" applyBorder="1" applyAlignment="1" applyProtection="1">
      <alignment vertical="center"/>
    </xf>
    <xf numFmtId="9" fontId="31" fillId="10" borderId="1" xfId="4" applyFont="1" applyFill="1" applyBorder="1" applyAlignment="1" applyProtection="1">
      <alignment horizontal="center" vertical="center"/>
    </xf>
    <xf numFmtId="0" fontId="31" fillId="10" borderId="1" xfId="0" applyFont="1" applyFill="1" applyBorder="1" applyAlignment="1" applyProtection="1">
      <alignment horizontal="center" vertical="center" wrapText="1"/>
    </xf>
    <xf numFmtId="10" fontId="5" fillId="28" borderId="1" xfId="0" applyNumberFormat="1" applyFont="1" applyFill="1" applyBorder="1" applyAlignment="1" applyProtection="1">
      <alignment vertical="center"/>
    </xf>
    <xf numFmtId="167" fontId="5" fillId="28" borderId="1" xfId="5" applyFont="1" applyFill="1" applyBorder="1" applyAlignment="1" applyProtection="1">
      <alignment vertical="center"/>
    </xf>
    <xf numFmtId="9" fontId="31" fillId="10" borderId="1" xfId="4" applyFont="1" applyFill="1" applyBorder="1" applyAlignment="1" applyProtection="1">
      <alignment horizontal="center" vertical="center" wrapText="1"/>
    </xf>
    <xf numFmtId="0" fontId="31" fillId="10" borderId="19" xfId="0" applyFont="1" applyFill="1" applyBorder="1" applyAlignment="1" applyProtection="1">
      <alignment horizontal="center" vertical="center" wrapText="1"/>
    </xf>
    <xf numFmtId="0" fontId="0" fillId="0" borderId="0" xfId="0" applyAlignment="1"/>
    <xf numFmtId="167" fontId="4" fillId="0" borderId="19" xfId="5" applyFont="1" applyFill="1" applyBorder="1" applyAlignment="1" applyProtection="1">
      <alignment vertical="center"/>
    </xf>
    <xf numFmtId="167" fontId="5" fillId="28" borderId="19" xfId="5" applyFont="1" applyFill="1" applyBorder="1" applyAlignment="1" applyProtection="1">
      <alignment vertical="center"/>
    </xf>
    <xf numFmtId="10" fontId="31" fillId="10" borderId="21" xfId="0" applyNumberFormat="1" applyFont="1" applyFill="1" applyBorder="1" applyAlignment="1" applyProtection="1">
      <alignment vertical="center"/>
    </xf>
    <xf numFmtId="176" fontId="31" fillId="10" borderId="21" xfId="0" applyNumberFormat="1" applyFont="1" applyFill="1" applyBorder="1" applyAlignment="1" applyProtection="1">
      <alignment horizontal="center" vertical="center"/>
    </xf>
    <xf numFmtId="176" fontId="31" fillId="10" borderId="22" xfId="0" applyNumberFormat="1" applyFont="1" applyFill="1" applyBorder="1" applyAlignment="1" applyProtection="1">
      <alignment horizontal="center" vertical="center"/>
    </xf>
    <xf numFmtId="9" fontId="4" fillId="12" borderId="1" xfId="4" applyFont="1" applyFill="1" applyBorder="1" applyAlignment="1" applyProtection="1">
      <alignment horizontal="center" vertical="center"/>
      <protection locked="0"/>
    </xf>
    <xf numFmtId="166" fontId="4" fillId="12" borderId="1" xfId="4" applyNumberFormat="1" applyFont="1" applyFill="1" applyBorder="1" applyAlignment="1" applyProtection="1">
      <alignment vertical="center"/>
      <protection locked="0"/>
    </xf>
    <xf numFmtId="0" fontId="4" fillId="12" borderId="1" xfId="0" applyFont="1" applyFill="1" applyBorder="1" applyAlignment="1" applyProtection="1">
      <alignment horizontal="center" vertical="center"/>
      <protection locked="0"/>
    </xf>
    <xf numFmtId="2" fontId="4" fillId="12" borderId="1" xfId="0" applyNumberFormat="1" applyFont="1" applyFill="1" applyBorder="1" applyAlignment="1" applyProtection="1">
      <alignment horizontal="center" vertical="center"/>
      <protection locked="0"/>
    </xf>
    <xf numFmtId="10" fontId="4" fillId="12" borderId="1" xfId="4" applyNumberFormat="1" applyFont="1" applyFill="1" applyBorder="1" applyAlignment="1" applyProtection="1">
      <alignment horizontal="center" vertical="center"/>
      <protection locked="0"/>
    </xf>
    <xf numFmtId="9" fontId="4" fillId="12" borderId="6" xfId="4" applyNumberFormat="1" applyFont="1" applyFill="1" applyBorder="1" applyAlignment="1" applyProtection="1">
      <alignment vertical="center" wrapText="1"/>
      <protection locked="0"/>
    </xf>
    <xf numFmtId="9" fontId="4" fillId="13" borderId="6" xfId="4" applyFont="1" applyFill="1" applyBorder="1" applyAlignment="1" applyProtection="1">
      <alignment vertical="center" wrapText="1"/>
    </xf>
    <xf numFmtId="0" fontId="4" fillId="12" borderId="1" xfId="0" applyFont="1" applyFill="1" applyBorder="1" applyAlignment="1" applyProtection="1">
      <alignment horizontal="center" vertical="center" wrapText="1"/>
      <protection locked="0"/>
    </xf>
    <xf numFmtId="166" fontId="4" fillId="12" borderId="1" xfId="4" applyNumberFormat="1" applyFont="1" applyFill="1" applyBorder="1" applyAlignment="1" applyProtection="1">
      <alignment horizontal="center" vertical="center" wrapText="1"/>
      <protection locked="0"/>
    </xf>
    <xf numFmtId="0" fontId="13" fillId="0" borderId="30" xfId="0" applyFont="1" applyFill="1" applyBorder="1" applyAlignment="1" applyProtection="1">
      <alignment horizontal="center" vertical="center" wrapText="1"/>
    </xf>
    <xf numFmtId="9" fontId="5" fillId="16" borderId="1" xfId="4" applyFont="1" applyFill="1" applyBorder="1" applyAlignment="1" applyProtection="1">
      <alignment horizontal="center" vertical="center"/>
      <protection locked="0"/>
    </xf>
    <xf numFmtId="43" fontId="4" fillId="0" borderId="0" xfId="0" applyNumberFormat="1" applyFont="1" applyAlignment="1" applyProtection="1">
      <alignment vertical="center"/>
    </xf>
    <xf numFmtId="0" fontId="4" fillId="0" borderId="0" xfId="0" applyFont="1" applyBorder="1" applyAlignment="1" applyProtection="1">
      <alignment vertical="center" wrapText="1"/>
    </xf>
    <xf numFmtId="166" fontId="4" fillId="13" borderId="1" xfId="4" applyNumberFormat="1" applyFont="1" applyFill="1" applyBorder="1" applyAlignment="1" applyProtection="1">
      <alignment horizontal="center" vertical="center"/>
    </xf>
    <xf numFmtId="10" fontId="4" fillId="13" borderId="1" xfId="4" applyNumberFormat="1" applyFont="1" applyFill="1" applyBorder="1" applyAlignment="1" applyProtection="1">
      <alignment horizontal="center" vertical="center"/>
    </xf>
    <xf numFmtId="10" fontId="4" fillId="17" borderId="1" xfId="4" applyNumberFormat="1" applyFont="1" applyFill="1" applyBorder="1" applyAlignment="1" applyProtection="1">
      <alignment horizontal="center" vertical="center"/>
    </xf>
    <xf numFmtId="0" fontId="44" fillId="9" borderId="0" xfId="0" applyFont="1" applyFill="1" applyBorder="1" applyAlignment="1">
      <alignment vertical="center"/>
    </xf>
    <xf numFmtId="0" fontId="4" fillId="0" borderId="0" xfId="0" applyFont="1" applyAlignment="1" applyProtection="1">
      <alignment vertical="center" wrapText="1"/>
    </xf>
    <xf numFmtId="168" fontId="4" fillId="13" borderId="1" xfId="0" applyNumberFormat="1" applyFont="1" applyFill="1" applyBorder="1" applyAlignment="1" applyProtection="1">
      <alignment horizontal="center" vertical="center"/>
    </xf>
    <xf numFmtId="0" fontId="0" fillId="0" borderId="0" xfId="0" applyAlignment="1">
      <alignment horizontal="left" vertical="center"/>
    </xf>
    <xf numFmtId="0" fontId="27" fillId="19" borderId="0" xfId="3" applyFont="1" applyFill="1" applyBorder="1" applyAlignment="1" applyProtection="1">
      <alignment horizontal="left" vertical="center"/>
    </xf>
    <xf numFmtId="0" fontId="3" fillId="17" borderId="71" xfId="3" applyFont="1" applyFill="1" applyBorder="1" applyAlignment="1" applyProtection="1">
      <alignment horizontal="center" vertical="center"/>
    </xf>
    <xf numFmtId="1" fontId="3" fillId="0" borderId="72" xfId="3" applyNumberFormat="1" applyFont="1" applyBorder="1" applyAlignment="1" applyProtection="1">
      <alignment horizontal="center" vertical="center"/>
    </xf>
    <xf numFmtId="1" fontId="3" fillId="17" borderId="71" xfId="3" applyNumberFormat="1" applyFont="1" applyFill="1" applyBorder="1" applyAlignment="1" applyProtection="1">
      <alignment horizontal="center" vertical="center"/>
    </xf>
    <xf numFmtId="43" fontId="3" fillId="17" borderId="71" xfId="2" applyNumberFormat="1" applyFont="1" applyFill="1" applyBorder="1" applyAlignment="1" applyProtection="1">
      <alignment horizontal="center" vertical="center"/>
    </xf>
    <xf numFmtId="165" fontId="3" fillId="17" borderId="73" xfId="2" applyNumberFormat="1" applyFont="1" applyFill="1" applyBorder="1" applyAlignment="1" applyProtection="1">
      <alignment horizontal="center" vertical="center"/>
    </xf>
    <xf numFmtId="0" fontId="0" fillId="0" borderId="0" xfId="0" applyNumberFormat="1" applyFont="1"/>
    <xf numFmtId="0" fontId="47" fillId="19" borderId="0" xfId="3" applyNumberFormat="1" applyFont="1" applyFill="1" applyBorder="1" applyAlignment="1" applyProtection="1">
      <alignment vertical="center"/>
    </xf>
    <xf numFmtId="0" fontId="27" fillId="19" borderId="0" xfId="3" applyFont="1" applyFill="1" applyBorder="1" applyAlignment="1" applyProtection="1">
      <alignment horizontal="left" vertical="center" wrapText="1"/>
    </xf>
    <xf numFmtId="0" fontId="31" fillId="10" borderId="41" xfId="0" applyFont="1" applyFill="1" applyBorder="1" applyAlignment="1" applyProtection="1">
      <alignment horizontal="center" vertical="center" wrapText="1"/>
    </xf>
    <xf numFmtId="0" fontId="4" fillId="0" borderId="40" xfId="0" applyFont="1" applyBorder="1" applyAlignment="1" applyProtection="1">
      <alignment horizontal="center" vertical="center"/>
    </xf>
    <xf numFmtId="176" fontId="31" fillId="10" borderId="44" xfId="0" applyNumberFormat="1" applyFont="1" applyFill="1" applyBorder="1" applyAlignment="1" applyProtection="1">
      <alignment horizontal="center" vertical="center"/>
    </xf>
    <xf numFmtId="1" fontId="29" fillId="17" borderId="43" xfId="3" applyNumberFormat="1" applyFont="1" applyFill="1" applyBorder="1" applyAlignment="1" applyProtection="1">
      <alignment horizontal="center" vertical="center"/>
    </xf>
    <xf numFmtId="1" fontId="3" fillId="0" borderId="21" xfId="3" applyNumberFormat="1" applyFont="1" applyBorder="1" applyAlignment="1" applyProtection="1">
      <alignment horizontal="center" vertical="center"/>
    </xf>
    <xf numFmtId="0" fontId="3" fillId="0" borderId="21" xfId="3" applyFont="1" applyBorder="1" applyAlignment="1" applyProtection="1">
      <alignment horizontal="center" vertical="center"/>
    </xf>
    <xf numFmtId="43" fontId="3" fillId="17" borderId="22" xfId="2" applyNumberFormat="1" applyFont="1" applyFill="1" applyBorder="1" applyAlignment="1" applyProtection="1">
      <alignment horizontal="center" vertical="center"/>
    </xf>
    <xf numFmtId="165" fontId="3" fillId="17" borderId="22" xfId="2" applyNumberFormat="1" applyFont="1" applyFill="1" applyBorder="1" applyAlignment="1" applyProtection="1">
      <alignment horizontal="center" vertical="center"/>
    </xf>
    <xf numFmtId="0" fontId="31" fillId="10" borderId="40" xfId="0" applyNumberFormat="1" applyFont="1" applyFill="1" applyBorder="1" applyAlignment="1" applyProtection="1">
      <alignment horizontal="center" vertical="center"/>
    </xf>
    <xf numFmtId="176" fontId="4" fillId="0" borderId="41" xfId="5" applyNumberFormat="1" applyFont="1" applyFill="1" applyBorder="1" applyAlignment="1" applyProtection="1">
      <alignment horizontal="center" vertical="center"/>
    </xf>
    <xf numFmtId="0" fontId="51" fillId="0" borderId="40" xfId="3" applyNumberFormat="1" applyFont="1" applyBorder="1" applyAlignment="1" applyProtection="1">
      <alignment horizontal="center" vertical="center" wrapText="1"/>
    </xf>
    <xf numFmtId="0" fontId="51" fillId="0" borderId="31" xfId="3" applyFont="1" applyBorder="1" applyAlignment="1" applyProtection="1">
      <alignment horizontal="left" vertical="center" wrapText="1"/>
    </xf>
    <xf numFmtId="0" fontId="51" fillId="0" borderId="40" xfId="3" applyNumberFormat="1" applyFont="1" applyBorder="1" applyAlignment="1" applyProtection="1">
      <alignment horizontal="center" vertical="center"/>
    </xf>
    <xf numFmtId="0" fontId="51" fillId="0" borderId="31" xfId="3" applyFont="1" applyBorder="1" applyAlignment="1" applyProtection="1">
      <alignment horizontal="left" vertical="center"/>
    </xf>
    <xf numFmtId="175" fontId="51" fillId="0" borderId="31" xfId="3" applyNumberFormat="1" applyFont="1" applyBorder="1" applyAlignment="1" applyProtection="1">
      <alignment horizontal="left" vertical="center" wrapText="1"/>
    </xf>
    <xf numFmtId="0" fontId="51" fillId="0" borderId="42" xfId="3" applyNumberFormat="1" applyFont="1" applyBorder="1" applyAlignment="1" applyProtection="1">
      <alignment horizontal="center" vertical="center" wrapText="1"/>
    </xf>
    <xf numFmtId="175" fontId="51" fillId="0" borderId="43" xfId="3" applyNumberFormat="1" applyFont="1" applyBorder="1" applyAlignment="1" applyProtection="1">
      <alignment horizontal="left" vertical="center" wrapText="1"/>
    </xf>
    <xf numFmtId="0" fontId="51" fillId="0" borderId="43" xfId="3" applyFont="1" applyBorder="1" applyAlignment="1" applyProtection="1">
      <alignment horizontal="left" vertical="center" wrapText="1"/>
    </xf>
    <xf numFmtId="165" fontId="23" fillId="13" borderId="31" xfId="1" applyFill="1" applyBorder="1" applyAlignment="1" applyProtection="1">
      <alignment vertical="center"/>
      <protection locked="0"/>
    </xf>
    <xf numFmtId="165" fontId="23" fillId="13" borderId="43" xfId="1" applyFill="1" applyBorder="1" applyAlignment="1" applyProtection="1">
      <alignment vertical="center"/>
      <protection locked="0"/>
    </xf>
    <xf numFmtId="165" fontId="23" fillId="13" borderId="71" xfId="1" applyFill="1" applyBorder="1" applyAlignment="1" applyProtection="1">
      <alignment vertical="center"/>
      <protection locked="0"/>
    </xf>
    <xf numFmtId="43" fontId="52" fillId="19" borderId="0" xfId="3" applyNumberFormat="1" applyFont="1" applyFill="1" applyBorder="1" applyAlignment="1" applyProtection="1">
      <alignment horizontal="left" vertical="center"/>
    </xf>
    <xf numFmtId="0" fontId="5" fillId="18" borderId="2" xfId="0" applyFont="1" applyFill="1" applyBorder="1" applyAlignment="1" applyProtection="1">
      <alignment vertical="center"/>
    </xf>
    <xf numFmtId="10" fontId="4" fillId="0" borderId="1" xfId="4" applyNumberFormat="1" applyFont="1" applyFill="1" applyBorder="1" applyAlignment="1" applyProtection="1">
      <alignment horizontal="center" vertical="center" wrapText="1"/>
    </xf>
    <xf numFmtId="166" fontId="4" fillId="18" borderId="1" xfId="4" applyNumberFormat="1" applyFont="1" applyFill="1" applyBorder="1" applyAlignment="1" applyProtection="1">
      <alignment horizontal="center" vertical="center"/>
    </xf>
    <xf numFmtId="166" fontId="5" fillId="12" borderId="1" xfId="4" applyNumberFormat="1" applyFont="1" applyFill="1" applyBorder="1" applyAlignment="1" applyProtection="1">
      <alignment horizontal="center" vertical="center"/>
      <protection locked="0"/>
    </xf>
    <xf numFmtId="166" fontId="19" fillId="12" borderId="1" xfId="4" applyNumberFormat="1" applyFont="1" applyFill="1" applyBorder="1" applyAlignment="1" applyProtection="1">
      <alignment horizontal="center" vertical="center"/>
      <protection locked="0"/>
    </xf>
    <xf numFmtId="166" fontId="20" fillId="0" borderId="1" xfId="4" applyNumberFormat="1" applyFont="1" applyFill="1" applyBorder="1" applyAlignment="1" applyProtection="1">
      <alignment horizontal="center" vertical="center"/>
    </xf>
    <xf numFmtId="166" fontId="4" fillId="12" borderId="1" xfId="4" applyNumberFormat="1" applyFont="1" applyFill="1" applyBorder="1" applyAlignment="1" applyProtection="1">
      <alignment horizontal="center" vertical="center"/>
      <protection locked="0"/>
    </xf>
    <xf numFmtId="166" fontId="4" fillId="0" borderId="1" xfId="4" applyNumberFormat="1" applyFont="1" applyFill="1" applyBorder="1" applyAlignment="1" applyProtection="1">
      <alignment horizontal="center" vertical="center"/>
      <protection locked="0"/>
    </xf>
    <xf numFmtId="166" fontId="5" fillId="0" borderId="1" xfId="0" applyNumberFormat="1" applyFont="1" applyBorder="1" applyAlignment="1" applyProtection="1">
      <alignment horizontal="center" vertical="center"/>
    </xf>
    <xf numFmtId="0" fontId="5" fillId="18" borderId="1" xfId="0" applyFont="1" applyFill="1" applyBorder="1" applyAlignment="1" applyProtection="1">
      <alignment horizontal="center" vertical="center"/>
    </xf>
    <xf numFmtId="173" fontId="4" fillId="12" borderId="1" xfId="5" applyNumberFormat="1" applyFont="1" applyFill="1" applyBorder="1" applyAlignment="1" applyProtection="1">
      <alignment horizontal="center" vertical="center"/>
      <protection locked="0"/>
    </xf>
    <xf numFmtId="0" fontId="5" fillId="18" borderId="15" xfId="0" applyFont="1" applyFill="1" applyBorder="1" applyAlignment="1" applyProtection="1">
      <alignment vertical="center"/>
    </xf>
    <xf numFmtId="0" fontId="5" fillId="18" borderId="35" xfId="0" applyFont="1" applyFill="1" applyBorder="1" applyAlignment="1" applyProtection="1">
      <alignment vertical="center"/>
    </xf>
    <xf numFmtId="0" fontId="5" fillId="18" borderId="81" xfId="0" applyFont="1" applyFill="1" applyBorder="1" applyAlignment="1" applyProtection="1">
      <alignment horizontal="center" vertical="center"/>
    </xf>
    <xf numFmtId="44" fontId="5" fillId="18" borderId="17" xfId="0" applyNumberFormat="1" applyFont="1" applyFill="1" applyBorder="1" applyAlignment="1" applyProtection="1">
      <alignment vertical="center"/>
    </xf>
    <xf numFmtId="0" fontId="5" fillId="18" borderId="49" xfId="0" applyFont="1" applyFill="1" applyBorder="1" applyAlignment="1" applyProtection="1">
      <alignment vertical="center"/>
    </xf>
    <xf numFmtId="44" fontId="5" fillId="18" borderId="19" xfId="0" applyNumberFormat="1" applyFont="1" applyFill="1" applyBorder="1" applyAlignment="1" applyProtection="1">
      <alignment vertical="center"/>
    </xf>
    <xf numFmtId="173" fontId="4" fillId="12" borderId="21" xfId="5" applyNumberFormat="1" applyFont="1" applyFill="1" applyBorder="1" applyAlignment="1" applyProtection="1">
      <alignment horizontal="center" vertical="center"/>
      <protection locked="0"/>
    </xf>
    <xf numFmtId="44" fontId="5" fillId="18" borderId="22" xfId="0" applyNumberFormat="1" applyFont="1" applyFill="1" applyBorder="1" applyAlignment="1" applyProtection="1">
      <alignment vertical="center"/>
    </xf>
    <xf numFmtId="9" fontId="17" fillId="18" borderId="15" xfId="4" applyFont="1" applyFill="1" applyBorder="1" applyAlignment="1" applyProtection="1">
      <alignment horizontal="left" vertical="center"/>
    </xf>
    <xf numFmtId="0" fontId="17" fillId="18" borderId="35" xfId="0" applyFont="1" applyFill="1" applyBorder="1" applyAlignment="1" applyProtection="1">
      <alignment vertical="center"/>
    </xf>
    <xf numFmtId="9" fontId="17" fillId="18" borderId="35" xfId="4" applyFont="1" applyFill="1" applyBorder="1" applyAlignment="1" applyProtection="1">
      <alignment horizontal="left" vertical="center"/>
    </xf>
    <xf numFmtId="9" fontId="17" fillId="18" borderId="81" xfId="4" applyFont="1" applyFill="1" applyBorder="1" applyAlignment="1" applyProtection="1">
      <alignment vertical="center"/>
    </xf>
    <xf numFmtId="44" fontId="17" fillId="18" borderId="17" xfId="0" applyNumberFormat="1" applyFont="1" applyFill="1" applyBorder="1" applyAlignment="1" applyProtection="1">
      <alignment vertical="center"/>
    </xf>
    <xf numFmtId="9" fontId="17" fillId="18" borderId="82" xfId="4" applyFont="1" applyFill="1" applyBorder="1" applyAlignment="1" applyProtection="1">
      <alignment horizontal="left" vertical="center"/>
    </xf>
    <xf numFmtId="0" fontId="17" fillId="18" borderId="33" xfId="0" applyFont="1" applyFill="1" applyBorder="1" applyAlignment="1" applyProtection="1">
      <alignment vertical="center"/>
    </xf>
    <xf numFmtId="9" fontId="17" fillId="18" borderId="33" xfId="4" applyFont="1" applyFill="1" applyBorder="1" applyAlignment="1" applyProtection="1">
      <alignment horizontal="left" vertical="center"/>
    </xf>
    <xf numFmtId="0" fontId="17" fillId="18" borderId="33" xfId="0" applyNumberFormat="1" applyFont="1" applyFill="1" applyBorder="1" applyAlignment="1" applyProtection="1">
      <alignment horizontal="center" vertical="center"/>
    </xf>
    <xf numFmtId="168" fontId="17" fillId="18" borderId="21" xfId="0" applyNumberFormat="1" applyFont="1" applyFill="1" applyBorder="1" applyAlignment="1" applyProtection="1">
      <alignment vertical="center"/>
    </xf>
    <xf numFmtId="44" fontId="17" fillId="18" borderId="22" xfId="0" applyNumberFormat="1" applyFont="1" applyFill="1" applyBorder="1" applyAlignment="1" applyProtection="1">
      <alignment vertical="center"/>
    </xf>
    <xf numFmtId="0" fontId="34" fillId="23" borderId="23" xfId="0" applyFont="1" applyFill="1" applyBorder="1" applyAlignment="1" applyProtection="1">
      <alignment vertical="center"/>
    </xf>
    <xf numFmtId="0" fontId="54" fillId="23" borderId="24" xfId="0" applyFont="1" applyFill="1" applyBorder="1" applyAlignment="1"/>
    <xf numFmtId="0" fontId="54" fillId="23" borderId="25" xfId="0" applyFont="1" applyFill="1" applyBorder="1" applyAlignment="1"/>
    <xf numFmtId="0" fontId="32" fillId="20" borderId="19" xfId="0" applyFont="1" applyFill="1" applyBorder="1" applyAlignment="1" applyProtection="1">
      <alignment horizontal="center" vertical="center"/>
    </xf>
    <xf numFmtId="44" fontId="4" fillId="0" borderId="19" xfId="5" applyNumberFormat="1" applyFont="1" applyFill="1" applyBorder="1" applyAlignment="1" applyProtection="1">
      <alignment horizontal="center" vertical="center"/>
    </xf>
    <xf numFmtId="44" fontId="5" fillId="0" borderId="19" xfId="0" applyNumberFormat="1" applyFont="1" applyBorder="1" applyAlignment="1" applyProtection="1">
      <alignment horizontal="center" vertical="center"/>
    </xf>
    <xf numFmtId="10" fontId="32" fillId="20" borderId="21" xfId="0" applyNumberFormat="1" applyFont="1" applyFill="1" applyBorder="1" applyAlignment="1" applyProtection="1">
      <alignment horizontal="center" vertical="center"/>
    </xf>
    <xf numFmtId="44" fontId="32" fillId="20" borderId="22" xfId="0" applyNumberFormat="1" applyFont="1" applyFill="1" applyBorder="1" applyAlignment="1" applyProtection="1">
      <alignment horizontal="center" vertical="center"/>
    </xf>
    <xf numFmtId="9" fontId="5" fillId="10" borderId="81" xfId="4" applyFont="1" applyFill="1" applyBorder="1" applyAlignment="1" applyProtection="1">
      <alignment horizontal="center" vertical="center"/>
    </xf>
    <xf numFmtId="0" fontId="5" fillId="10" borderId="17" xfId="0" applyFont="1" applyFill="1" applyBorder="1" applyAlignment="1" applyProtection="1">
      <alignment horizontal="center" vertical="center"/>
    </xf>
    <xf numFmtId="44" fontId="5" fillId="0" borderId="19" xfId="5" applyNumberFormat="1" applyFont="1" applyFill="1" applyBorder="1" applyAlignment="1" applyProtection="1">
      <alignment horizontal="center" vertical="center"/>
    </xf>
    <xf numFmtId="44" fontId="20" fillId="0" borderId="19" xfId="5" applyNumberFormat="1" applyFont="1" applyFill="1" applyBorder="1" applyAlignment="1" applyProtection="1">
      <alignment horizontal="center" vertical="center"/>
    </xf>
    <xf numFmtId="167" fontId="4" fillId="0" borderId="19" xfId="5" applyFont="1" applyFill="1" applyBorder="1" applyAlignment="1" applyProtection="1">
      <alignment horizontal="center" vertical="center"/>
    </xf>
    <xf numFmtId="0" fontId="5" fillId="10" borderId="82" xfId="0" applyFont="1" applyFill="1" applyBorder="1" applyAlignment="1" applyProtection="1">
      <alignment vertical="center"/>
    </xf>
    <xf numFmtId="0" fontId="5" fillId="10" borderId="33" xfId="0" applyFont="1" applyFill="1" applyBorder="1" applyAlignment="1" applyProtection="1">
      <alignment vertical="center"/>
    </xf>
    <xf numFmtId="166" fontId="5" fillId="10" borderId="21" xfId="4" applyNumberFormat="1" applyFont="1" applyFill="1" applyBorder="1" applyAlignment="1" applyProtection="1">
      <alignment horizontal="center" vertical="center"/>
    </xf>
    <xf numFmtId="44" fontId="5" fillId="10" borderId="22" xfId="5" applyNumberFormat="1" applyFont="1" applyFill="1" applyBorder="1" applyAlignment="1" applyProtection="1">
      <alignment horizontal="center" vertical="center"/>
    </xf>
    <xf numFmtId="44" fontId="4" fillId="16" borderId="19" xfId="5" applyNumberFormat="1" applyFont="1" applyFill="1" applyBorder="1" applyAlignment="1" applyProtection="1">
      <alignment horizontal="center" vertical="center"/>
      <protection locked="0"/>
    </xf>
    <xf numFmtId="44" fontId="4" fillId="12" borderId="19" xfId="5" applyNumberFormat="1" applyFont="1" applyFill="1" applyBorder="1" applyAlignment="1" applyProtection="1">
      <alignment horizontal="center" vertical="center"/>
      <protection locked="0"/>
    </xf>
    <xf numFmtId="0" fontId="5" fillId="15" borderId="15" xfId="0" applyFont="1" applyFill="1" applyBorder="1" applyAlignment="1" applyProtection="1">
      <alignment vertical="center"/>
    </xf>
    <xf numFmtId="0" fontId="5" fillId="15" borderId="35" xfId="0" applyFont="1" applyFill="1" applyBorder="1" applyAlignment="1" applyProtection="1">
      <alignment vertical="center"/>
    </xf>
    <xf numFmtId="0" fontId="5" fillId="10" borderId="19" xfId="0" applyFont="1" applyFill="1" applyBorder="1" applyAlignment="1" applyProtection="1">
      <alignment horizontal="center" vertical="center"/>
    </xf>
    <xf numFmtId="44" fontId="4" fillId="17" borderId="19" xfId="0" applyNumberFormat="1" applyFont="1" applyFill="1" applyBorder="1" applyAlignment="1" applyProtection="1">
      <alignment horizontal="center" vertical="center"/>
    </xf>
    <xf numFmtId="168" fontId="5" fillId="10" borderId="22" xfId="0" applyNumberFormat="1" applyFont="1" applyFill="1" applyBorder="1" applyAlignment="1" applyProtection="1">
      <alignment horizontal="center" vertical="center"/>
    </xf>
    <xf numFmtId="0" fontId="5" fillId="22" borderId="15" xfId="0" applyFont="1" applyFill="1" applyBorder="1" applyAlignment="1" applyProtection="1">
      <alignment vertical="center"/>
    </xf>
    <xf numFmtId="0" fontId="5" fillId="22" borderId="35" xfId="0" applyFont="1" applyFill="1" applyBorder="1" applyAlignment="1" applyProtection="1">
      <alignment vertical="center"/>
    </xf>
    <xf numFmtId="44" fontId="4" fillId="17" borderId="19" xfId="5" applyNumberFormat="1" applyFont="1" applyFill="1" applyBorder="1" applyAlignment="1" applyProtection="1">
      <alignment horizontal="center" vertical="center"/>
    </xf>
    <xf numFmtId="166" fontId="5" fillId="22" borderId="21" xfId="4" applyNumberFormat="1" applyFont="1" applyFill="1" applyBorder="1" applyAlignment="1" applyProtection="1">
      <alignment horizontal="center" vertical="center"/>
    </xf>
    <xf numFmtId="44" fontId="5" fillId="22" borderId="22" xfId="0" applyNumberFormat="1" applyFont="1" applyFill="1" applyBorder="1" applyAlignment="1" applyProtection="1">
      <alignment horizontal="center" vertical="center"/>
    </xf>
    <xf numFmtId="0" fontId="5" fillId="15" borderId="16" xfId="0" applyFont="1" applyFill="1" applyBorder="1" applyAlignment="1" applyProtection="1">
      <alignment horizontal="center" vertical="center" wrapText="1"/>
    </xf>
    <xf numFmtId="168" fontId="5" fillId="15" borderId="36" xfId="0" applyNumberFormat="1" applyFont="1" applyFill="1" applyBorder="1" applyAlignment="1" applyProtection="1">
      <alignment vertical="center"/>
    </xf>
    <xf numFmtId="44" fontId="5" fillId="10" borderId="22" xfId="0" applyNumberFormat="1" applyFont="1" applyFill="1" applyBorder="1" applyAlignment="1" applyProtection="1">
      <alignment horizontal="center" vertical="center"/>
    </xf>
    <xf numFmtId="0" fontId="5" fillId="10" borderId="16" xfId="0" applyFont="1" applyFill="1" applyBorder="1" applyAlignment="1" applyProtection="1">
      <alignment vertical="center"/>
    </xf>
    <xf numFmtId="0" fontId="5" fillId="10" borderId="35" xfId="0" applyFont="1" applyFill="1" applyBorder="1" applyAlignment="1" applyProtection="1">
      <alignment vertical="center"/>
    </xf>
    <xf numFmtId="0" fontId="5" fillId="10" borderId="81" xfId="0" applyFont="1" applyFill="1" applyBorder="1" applyAlignment="1" applyProtection="1">
      <alignment horizontal="center" vertical="center" wrapText="1"/>
    </xf>
    <xf numFmtId="44" fontId="4" fillId="18" borderId="19" xfId="0" applyNumberFormat="1" applyFont="1" applyFill="1" applyBorder="1" applyAlignment="1" applyProtection="1">
      <alignment horizontal="center" vertical="center"/>
    </xf>
    <xf numFmtId="166" fontId="5" fillId="10" borderId="21" xfId="4" applyNumberFormat="1" applyFont="1" applyFill="1" applyBorder="1" applyAlignment="1" applyProtection="1">
      <alignment vertical="center"/>
    </xf>
    <xf numFmtId="44" fontId="5" fillId="10" borderId="22" xfId="5" applyNumberFormat="1" applyFont="1" applyFill="1" applyBorder="1" applyAlignment="1" applyProtection="1">
      <alignment vertical="center"/>
    </xf>
    <xf numFmtId="0" fontId="5" fillId="30" borderId="15" xfId="0" applyFont="1" applyFill="1" applyBorder="1" applyAlignment="1" applyProtection="1">
      <alignment vertical="center"/>
    </xf>
    <xf numFmtId="0" fontId="5" fillId="30" borderId="35" xfId="0" applyFont="1" applyFill="1" applyBorder="1" applyAlignment="1" applyProtection="1">
      <alignment vertical="center"/>
    </xf>
    <xf numFmtId="167" fontId="5" fillId="29" borderId="19" xfId="5" applyFont="1" applyFill="1" applyBorder="1" applyAlignment="1" applyProtection="1">
      <alignment horizontal="center" vertical="center"/>
    </xf>
    <xf numFmtId="0" fontId="5" fillId="10" borderId="84" xfId="0" applyFont="1" applyFill="1" applyBorder="1" applyAlignment="1" applyProtection="1">
      <alignment horizontal="center" vertical="center"/>
    </xf>
    <xf numFmtId="10" fontId="5" fillId="10" borderId="21" xfId="4" applyNumberFormat="1" applyFont="1" applyFill="1" applyBorder="1" applyAlignment="1" applyProtection="1">
      <alignment horizontal="center" vertical="center"/>
    </xf>
    <xf numFmtId="44" fontId="5" fillId="10" borderId="22" xfId="0" applyNumberFormat="1" applyFont="1" applyFill="1" applyBorder="1" applyAlignment="1" applyProtection="1">
      <alignment vertical="center"/>
    </xf>
    <xf numFmtId="0" fontId="4" fillId="0" borderId="0" xfId="0" applyFont="1" applyFill="1" applyBorder="1" applyAlignment="1" applyProtection="1">
      <alignment horizontal="left" vertical="center"/>
    </xf>
    <xf numFmtId="44" fontId="4" fillId="12" borderId="19" xfId="0" applyNumberFormat="1" applyFont="1" applyFill="1" applyBorder="1" applyAlignment="1" applyProtection="1">
      <alignment horizontal="center" vertical="center"/>
      <protection locked="0"/>
    </xf>
    <xf numFmtId="9" fontId="5" fillId="10" borderId="21" xfId="4" applyFont="1" applyFill="1" applyBorder="1" applyAlignment="1" applyProtection="1">
      <alignment horizontal="center" vertical="center"/>
    </xf>
    <xf numFmtId="0" fontId="5" fillId="10" borderId="49" xfId="0" applyFont="1" applyFill="1" applyBorder="1" applyAlignment="1" applyProtection="1">
      <alignment vertical="center"/>
    </xf>
    <xf numFmtId="0" fontId="13" fillId="0" borderId="90" xfId="0" applyFont="1" applyBorder="1" applyAlignment="1" applyProtection="1">
      <alignment horizontal="center" vertical="center"/>
    </xf>
    <xf numFmtId="0" fontId="5" fillId="12" borderId="81" xfId="0" applyFont="1" applyFill="1" applyBorder="1" applyAlignment="1" applyProtection="1">
      <alignment horizontal="center" vertical="center"/>
      <protection locked="0"/>
    </xf>
    <xf numFmtId="0" fontId="5" fillId="10" borderId="2" xfId="0" applyFont="1" applyFill="1" applyBorder="1" applyAlignment="1" applyProtection="1">
      <alignment horizontal="center" vertical="center"/>
    </xf>
    <xf numFmtId="165" fontId="23" fillId="0" borderId="0" xfId="1"/>
    <xf numFmtId="9" fontId="4" fillId="16" borderId="1" xfId="4" applyFont="1" applyFill="1" applyBorder="1" applyAlignment="1" applyProtection="1">
      <alignment horizontal="center" vertical="center"/>
      <protection locked="0"/>
    </xf>
    <xf numFmtId="0" fontId="56" fillId="0" borderId="0" xfId="0" applyFont="1" applyAlignment="1">
      <alignment horizontal="center" vertical="center"/>
    </xf>
    <xf numFmtId="0" fontId="56" fillId="0" borderId="0" xfId="0" applyFont="1" applyAlignment="1">
      <alignment horizontal="left" vertical="center"/>
    </xf>
    <xf numFmtId="0" fontId="60" fillId="0" borderId="0" xfId="0" applyFont="1" applyAlignment="1">
      <alignment horizontal="center" vertical="center"/>
    </xf>
    <xf numFmtId="0" fontId="58" fillId="0" borderId="0" xfId="0" applyFont="1" applyAlignment="1">
      <alignment horizontal="center" vertical="center"/>
    </xf>
    <xf numFmtId="0" fontId="56" fillId="0" borderId="69" xfId="0" applyFont="1" applyBorder="1" applyAlignment="1">
      <alignment horizontal="center" vertical="center"/>
    </xf>
    <xf numFmtId="0" fontId="56" fillId="0" borderId="0" xfId="0" applyFont="1" applyBorder="1" applyAlignment="1">
      <alignment horizontal="center" vertical="center"/>
    </xf>
    <xf numFmtId="0" fontId="56" fillId="0" borderId="70" xfId="0" applyFont="1" applyBorder="1" applyAlignment="1">
      <alignment horizontal="center" vertical="center"/>
    </xf>
    <xf numFmtId="0" fontId="57" fillId="0" borderId="0" xfId="0" applyFont="1" applyBorder="1" applyAlignment="1">
      <alignment horizontal="left" vertical="center"/>
    </xf>
    <xf numFmtId="0" fontId="56" fillId="0" borderId="70" xfId="0" applyFont="1" applyBorder="1" applyAlignment="1">
      <alignment horizontal="left" vertical="center"/>
    </xf>
    <xf numFmtId="0" fontId="56" fillId="0" borderId="69" xfId="0" applyFont="1" applyBorder="1" applyAlignment="1">
      <alignment horizontal="left" vertical="center"/>
    </xf>
    <xf numFmtId="0" fontId="56" fillId="0" borderId="0" xfId="0" applyFont="1" applyBorder="1" applyAlignment="1">
      <alignment horizontal="left" vertical="center"/>
    </xf>
    <xf numFmtId="0" fontId="56" fillId="0" borderId="26" xfId="0" applyFont="1" applyBorder="1" applyAlignment="1">
      <alignment horizontal="center" vertical="center"/>
    </xf>
    <xf numFmtId="0" fontId="56" fillId="0" borderId="27" xfId="0" applyFont="1" applyBorder="1" applyAlignment="1">
      <alignment horizontal="center" vertical="center"/>
    </xf>
    <xf numFmtId="0" fontId="56" fillId="0" borderId="28" xfId="0" applyFont="1" applyBorder="1" applyAlignment="1">
      <alignment horizontal="center" vertical="center"/>
    </xf>
    <xf numFmtId="0" fontId="56" fillId="0" borderId="23"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8" fillId="0" borderId="69" xfId="0" applyFont="1" applyBorder="1" applyAlignment="1">
      <alignment horizontal="center" vertical="center"/>
    </xf>
    <xf numFmtId="0" fontId="58" fillId="0" borderId="70" xfId="0" applyFont="1" applyBorder="1" applyAlignment="1">
      <alignment horizontal="center" vertical="center"/>
    </xf>
    <xf numFmtId="0" fontId="60" fillId="0" borderId="69" xfId="0" applyFont="1" applyBorder="1" applyAlignment="1">
      <alignment horizontal="center" vertical="center"/>
    </xf>
    <xf numFmtId="0" fontId="60" fillId="0" borderId="70" xfId="0" applyFont="1" applyBorder="1" applyAlignment="1">
      <alignment horizontal="center" vertical="center"/>
    </xf>
    <xf numFmtId="0" fontId="5" fillId="3" borderId="4" xfId="0" applyFont="1" applyFill="1" applyBorder="1" applyAlignment="1" applyProtection="1">
      <alignment horizontal="center" vertical="center"/>
    </xf>
    <xf numFmtId="0" fontId="6" fillId="3" borderId="5" xfId="0" applyFont="1" applyFill="1" applyBorder="1" applyAlignment="1" applyProtection="1">
      <alignment horizontal="center" vertical="center"/>
    </xf>
    <xf numFmtId="0" fontId="4" fillId="0" borderId="1" xfId="0" applyFont="1" applyBorder="1" applyAlignment="1" applyProtection="1">
      <alignment horizontal="center" vertical="center"/>
    </xf>
    <xf numFmtId="0" fontId="4" fillId="6" borderId="1" xfId="0" applyNumberFormat="1" applyFont="1" applyFill="1" applyBorder="1" applyAlignment="1" applyProtection="1">
      <alignment horizontal="left" vertical="center"/>
    </xf>
    <xf numFmtId="0" fontId="4" fillId="2" borderId="2" xfId="0" applyFont="1" applyFill="1" applyBorder="1" applyAlignment="1" applyProtection="1">
      <alignment horizontal="center" vertical="center"/>
      <protection locked="0"/>
    </xf>
    <xf numFmtId="0" fontId="4" fillId="6" borderId="1" xfId="0" applyNumberFormat="1" applyFont="1" applyFill="1" applyBorder="1" applyAlignment="1" applyProtection="1">
      <alignment horizontal="center" vertical="center"/>
    </xf>
    <xf numFmtId="0" fontId="5" fillId="3" borderId="1" xfId="0" applyFont="1" applyFill="1" applyBorder="1" applyAlignment="1" applyProtection="1">
      <alignment horizontal="left" vertical="center"/>
    </xf>
    <xf numFmtId="0" fontId="4" fillId="0" borderId="1" xfId="0" applyFont="1" applyBorder="1" applyAlignment="1" applyProtection="1">
      <alignment horizontal="right" vertical="center"/>
    </xf>
    <xf numFmtId="0" fontId="4" fillId="2" borderId="1"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xf>
    <xf numFmtId="0" fontId="5" fillId="3" borderId="1" xfId="0" applyFont="1" applyFill="1" applyBorder="1" applyAlignment="1" applyProtection="1">
      <alignment horizontal="center" vertical="center" wrapText="1"/>
    </xf>
    <xf numFmtId="0" fontId="5" fillId="3" borderId="10"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4" fillId="0" borderId="1" xfId="0" applyFont="1" applyBorder="1" applyAlignment="1" applyProtection="1">
      <alignment horizontal="left" vertical="center"/>
    </xf>
    <xf numFmtId="166" fontId="4" fillId="0" borderId="1" xfId="4" applyNumberFormat="1" applyFont="1" applyFill="1" applyBorder="1" applyAlignment="1" applyProtection="1">
      <alignment horizontal="center" vertical="center"/>
    </xf>
    <xf numFmtId="167" fontId="4" fillId="2" borderId="1" xfId="5" applyFont="1" applyFill="1" applyBorder="1" applyAlignment="1" applyProtection="1">
      <alignment horizontal="center" vertical="center"/>
      <protection locked="0"/>
    </xf>
    <xf numFmtId="166" fontId="4" fillId="2" borderId="1" xfId="4" applyNumberFormat="1" applyFont="1" applyFill="1" applyBorder="1" applyAlignment="1" applyProtection="1">
      <alignment horizontal="center" vertical="center"/>
      <protection locked="0"/>
    </xf>
    <xf numFmtId="167" fontId="4" fillId="0" borderId="1" xfId="5" applyFont="1" applyFill="1" applyBorder="1" applyAlignment="1" applyProtection="1">
      <alignment horizontal="center" vertical="center"/>
    </xf>
    <xf numFmtId="0" fontId="4" fillId="0" borderId="1" xfId="0" applyFont="1" applyBorder="1" applyAlignment="1" applyProtection="1">
      <alignment horizontal="left" vertical="center" wrapText="1"/>
    </xf>
    <xf numFmtId="167" fontId="9" fillId="0" borderId="1" xfId="5" applyFont="1" applyFill="1" applyBorder="1" applyAlignment="1" applyProtection="1">
      <alignment horizontal="center" vertical="center"/>
    </xf>
    <xf numFmtId="0" fontId="5" fillId="3" borderId="1" xfId="0" applyFont="1" applyFill="1" applyBorder="1" applyAlignment="1" applyProtection="1">
      <alignment horizontal="right" vertical="center"/>
    </xf>
    <xf numFmtId="167" fontId="5" fillId="3" borderId="1" xfId="5" applyFont="1" applyFill="1" applyBorder="1" applyAlignment="1" applyProtection="1">
      <alignment horizontal="center" vertical="center"/>
    </xf>
    <xf numFmtId="168" fontId="4" fillId="0" borderId="1" xfId="0" applyNumberFormat="1" applyFont="1" applyBorder="1" applyAlignment="1" applyProtection="1">
      <alignment horizontal="center" vertical="center"/>
    </xf>
    <xf numFmtId="0" fontId="4" fillId="6" borderId="1" xfId="0" applyFont="1" applyFill="1" applyBorder="1" applyAlignment="1" applyProtection="1">
      <alignment horizontal="center" vertical="center"/>
    </xf>
    <xf numFmtId="0" fontId="4" fillId="6" borderId="1" xfId="0" applyFont="1" applyFill="1" applyBorder="1" applyAlignment="1" applyProtection="1">
      <alignment horizontal="left" vertical="center"/>
    </xf>
    <xf numFmtId="166" fontId="4" fillId="6" borderId="1" xfId="4" applyNumberFormat="1" applyFont="1" applyFill="1" applyBorder="1" applyAlignment="1" applyProtection="1">
      <alignment horizontal="center" vertical="center"/>
    </xf>
    <xf numFmtId="167" fontId="4" fillId="6" borderId="1" xfId="5" applyFont="1" applyFill="1" applyBorder="1" applyAlignment="1" applyProtection="1">
      <alignment horizontal="center" vertical="center"/>
    </xf>
    <xf numFmtId="166" fontId="4" fillId="5" borderId="1" xfId="4" applyNumberFormat="1" applyFont="1" applyFill="1" applyBorder="1" applyAlignment="1" applyProtection="1">
      <alignment horizontal="center" vertical="center"/>
    </xf>
    <xf numFmtId="0" fontId="4" fillId="6" borderId="1" xfId="0" applyFont="1" applyFill="1" applyBorder="1" applyAlignment="1" applyProtection="1">
      <alignment horizontal="left" vertical="center" wrapText="1"/>
    </xf>
    <xf numFmtId="0" fontId="5" fillId="3" borderId="3" xfId="0" applyFont="1" applyFill="1" applyBorder="1" applyAlignment="1" applyProtection="1">
      <alignment horizontal="right" vertical="center"/>
    </xf>
    <xf numFmtId="166" fontId="5" fillId="3" borderId="1" xfId="4" applyNumberFormat="1" applyFont="1" applyFill="1" applyBorder="1" applyAlignment="1" applyProtection="1">
      <alignment horizontal="center" vertical="center"/>
    </xf>
    <xf numFmtId="167" fontId="5" fillId="3" borderId="6" xfId="5" applyFont="1" applyFill="1" applyBorder="1" applyAlignment="1" applyProtection="1">
      <alignment horizontal="center" vertical="center"/>
    </xf>
    <xf numFmtId="0" fontId="4" fillId="3" borderId="1" xfId="0" applyFont="1" applyFill="1" applyBorder="1" applyAlignment="1" applyProtection="1">
      <alignment horizontal="right" vertical="center"/>
    </xf>
    <xf numFmtId="166" fontId="4" fillId="3" borderId="1" xfId="4" applyNumberFormat="1" applyFont="1" applyFill="1" applyBorder="1" applyAlignment="1" applyProtection="1">
      <alignment horizontal="center" vertical="center"/>
    </xf>
    <xf numFmtId="167" fontId="4" fillId="3" borderId="1" xfId="5" applyFont="1" applyFill="1" applyBorder="1" applyAlignment="1" applyProtection="1">
      <alignment horizontal="center" vertical="center"/>
    </xf>
    <xf numFmtId="166" fontId="7" fillId="2" borderId="1" xfId="4" applyNumberFormat="1" applyFont="1" applyFill="1" applyBorder="1" applyAlignment="1" applyProtection="1">
      <alignment horizontal="center" vertical="center"/>
      <protection locked="0"/>
    </xf>
    <xf numFmtId="169" fontId="4" fillId="0" borderId="1" xfId="4" applyNumberFormat="1" applyFont="1" applyFill="1" applyBorder="1" applyAlignment="1" applyProtection="1">
      <alignment horizontal="center" vertical="center"/>
    </xf>
    <xf numFmtId="0" fontId="5" fillId="3" borderId="1" xfId="0" applyFont="1" applyFill="1" applyBorder="1" applyAlignment="1" applyProtection="1">
      <alignment horizontal="right" vertical="center" wrapText="1"/>
    </xf>
    <xf numFmtId="0" fontId="4" fillId="2" borderId="1" xfId="5" applyNumberFormat="1" applyFont="1" applyFill="1" applyBorder="1" applyAlignment="1" applyProtection="1">
      <alignment horizontal="center" vertical="center"/>
      <protection locked="0"/>
    </xf>
    <xf numFmtId="0" fontId="5" fillId="3" borderId="0" xfId="0" applyFont="1" applyFill="1" applyBorder="1" applyAlignment="1" applyProtection="1">
      <alignment horizontal="center" vertical="center"/>
    </xf>
    <xf numFmtId="166" fontId="4" fillId="0" borderId="4" xfId="4" applyNumberFormat="1"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5" fillId="0" borderId="1" xfId="0" applyFont="1" applyBorder="1" applyAlignment="1" applyProtection="1">
      <alignment horizontal="left" vertical="center"/>
    </xf>
    <xf numFmtId="166" fontId="5" fillId="2" borderId="1" xfId="4" applyNumberFormat="1" applyFont="1" applyFill="1" applyBorder="1" applyAlignment="1" applyProtection="1">
      <alignment horizontal="center" vertical="center"/>
      <protection locked="0"/>
    </xf>
    <xf numFmtId="167" fontId="5" fillId="0" borderId="1" xfId="5" applyFont="1" applyFill="1" applyBorder="1" applyAlignment="1" applyProtection="1">
      <alignment horizontal="center" vertical="center"/>
    </xf>
    <xf numFmtId="0" fontId="4" fillId="0" borderId="4" xfId="0" applyFont="1" applyBorder="1" applyAlignment="1" applyProtection="1">
      <alignment horizontal="center" vertical="center"/>
    </xf>
    <xf numFmtId="166" fontId="5" fillId="3" borderId="1" xfId="0" applyNumberFormat="1" applyFont="1" applyFill="1" applyBorder="1" applyAlignment="1" applyProtection="1">
      <alignment horizontal="center" vertical="center"/>
    </xf>
    <xf numFmtId="167" fontId="5" fillId="3" borderId="4" xfId="5" applyFont="1" applyFill="1" applyBorder="1" applyAlignment="1" applyProtection="1">
      <alignment horizontal="center" vertical="center"/>
    </xf>
    <xf numFmtId="0" fontId="4" fillId="3" borderId="1" xfId="0" applyFont="1" applyFill="1" applyBorder="1" applyAlignment="1" applyProtection="1">
      <alignment horizontal="left" vertical="center"/>
    </xf>
    <xf numFmtId="166" fontId="4" fillId="3" borderId="1" xfId="0" applyNumberFormat="1" applyFont="1" applyFill="1" applyBorder="1" applyAlignment="1" applyProtection="1">
      <alignment horizontal="center" vertical="center"/>
    </xf>
    <xf numFmtId="167" fontId="4" fillId="3" borderId="4" xfId="5" applyFont="1" applyFill="1" applyBorder="1" applyAlignment="1" applyProtection="1">
      <alignment horizontal="center" vertical="center"/>
    </xf>
    <xf numFmtId="167" fontId="4" fillId="0" borderId="4" xfId="5" applyFont="1" applyFill="1" applyBorder="1" applyAlignment="1" applyProtection="1">
      <alignment horizontal="center" vertical="center"/>
    </xf>
    <xf numFmtId="10" fontId="4" fillId="0" borderId="1" xfId="4" applyNumberFormat="1" applyFont="1" applyFill="1" applyBorder="1" applyAlignment="1" applyProtection="1">
      <alignment horizontal="center" vertical="center"/>
    </xf>
    <xf numFmtId="10" fontId="4" fillId="3" borderId="1" xfId="4" applyNumberFormat="1" applyFont="1" applyFill="1" applyBorder="1" applyAlignment="1" applyProtection="1">
      <alignment horizontal="center" vertical="center"/>
    </xf>
    <xf numFmtId="10" fontId="4" fillId="0" borderId="4" xfId="4" applyNumberFormat="1" applyFont="1" applyFill="1" applyBorder="1" applyAlignment="1" applyProtection="1">
      <alignment horizontal="center" vertical="center"/>
    </xf>
    <xf numFmtId="0" fontId="63" fillId="35" borderId="0" xfId="0" applyFont="1" applyFill="1" applyBorder="1" applyAlignment="1">
      <alignment horizontal="center" vertical="center"/>
    </xf>
    <xf numFmtId="0" fontId="56" fillId="0" borderId="0" xfId="0" applyFont="1" applyBorder="1" applyAlignment="1">
      <alignment horizontal="left" vertical="center" wrapText="1"/>
    </xf>
    <xf numFmtId="0" fontId="57" fillId="32" borderId="69" xfId="0" applyFont="1" applyFill="1" applyBorder="1" applyAlignment="1">
      <alignment horizontal="center" vertical="center" wrapText="1"/>
    </xf>
    <xf numFmtId="0" fontId="57" fillId="32" borderId="0" xfId="0" applyFont="1" applyFill="1" applyBorder="1" applyAlignment="1">
      <alignment horizontal="center" vertical="center" wrapText="1"/>
    </xf>
    <xf numFmtId="0" fontId="59" fillId="33" borderId="23" xfId="0" applyFont="1" applyFill="1" applyBorder="1" applyAlignment="1">
      <alignment horizontal="center" vertical="center"/>
    </xf>
    <xf numFmtId="0" fontId="59" fillId="33" borderId="24" xfId="0" applyFont="1" applyFill="1" applyBorder="1" applyAlignment="1">
      <alignment horizontal="center" vertical="center"/>
    </xf>
    <xf numFmtId="0" fontId="59" fillId="33" borderId="25" xfId="0" applyFont="1" applyFill="1" applyBorder="1" applyAlignment="1">
      <alignment horizontal="center" vertical="center"/>
    </xf>
    <xf numFmtId="0" fontId="59" fillId="33" borderId="26" xfId="0" applyFont="1" applyFill="1" applyBorder="1" applyAlignment="1">
      <alignment horizontal="center" vertical="center"/>
    </xf>
    <xf numFmtId="0" fontId="59" fillId="33" borderId="27" xfId="0" applyFont="1" applyFill="1" applyBorder="1" applyAlignment="1">
      <alignment horizontal="center" vertical="center"/>
    </xf>
    <xf numFmtId="0" fontId="59" fillId="33" borderId="28" xfId="0" applyFont="1" applyFill="1" applyBorder="1" applyAlignment="1">
      <alignment horizontal="center" vertical="center"/>
    </xf>
    <xf numFmtId="0" fontId="57" fillId="34" borderId="0" xfId="0" applyFont="1" applyFill="1" applyBorder="1" applyAlignment="1">
      <alignment horizontal="center" vertical="center"/>
    </xf>
    <xf numFmtId="0" fontId="57" fillId="0" borderId="0" xfId="0" applyFont="1" applyBorder="1" applyAlignment="1">
      <alignment horizontal="left" vertical="center" wrapText="1"/>
    </xf>
    <xf numFmtId="0" fontId="62" fillId="0" borderId="0" xfId="0" applyFont="1" applyBorder="1" applyAlignment="1">
      <alignment horizontal="left" vertical="center" wrapText="1"/>
    </xf>
    <xf numFmtId="0" fontId="56" fillId="9" borderId="0" xfId="0" applyFont="1" applyFill="1" applyBorder="1" applyAlignment="1">
      <alignment horizontal="left" vertical="center" wrapText="1"/>
    </xf>
    <xf numFmtId="0" fontId="57" fillId="0" borderId="0" xfId="0" applyFont="1" applyBorder="1" applyAlignment="1">
      <alignment horizontal="left" vertical="center"/>
    </xf>
    <xf numFmtId="0" fontId="38" fillId="9" borderId="0" xfId="6" applyFont="1" applyFill="1" applyAlignment="1">
      <alignment horizontal="center" vertical="center"/>
    </xf>
    <xf numFmtId="0" fontId="38" fillId="9" borderId="0" xfId="6" applyFont="1" applyFill="1" applyAlignment="1">
      <alignment horizontal="center" vertical="center" wrapText="1"/>
    </xf>
    <xf numFmtId="0" fontId="58" fillId="0" borderId="0" xfId="0" applyFont="1" applyBorder="1" applyAlignment="1">
      <alignment horizontal="left" vertical="center" wrapText="1"/>
    </xf>
    <xf numFmtId="0" fontId="60" fillId="0" borderId="30" xfId="0" applyFont="1" applyBorder="1" applyAlignment="1">
      <alignment horizontal="left" vertical="center" wrapText="1"/>
    </xf>
    <xf numFmtId="0" fontId="60" fillId="0" borderId="38" xfId="0" applyFont="1" applyBorder="1" applyAlignment="1">
      <alignment horizontal="left" vertical="center" wrapText="1"/>
    </xf>
    <xf numFmtId="0" fontId="60" fillId="0" borderId="39" xfId="0" applyFont="1" applyBorder="1" applyAlignment="1">
      <alignment horizontal="left" vertical="center" wrapText="1"/>
    </xf>
    <xf numFmtId="0" fontId="4" fillId="0" borderId="3" xfId="0" applyFont="1" applyBorder="1" applyAlignment="1" applyProtection="1">
      <alignment horizontal="left" vertical="center" wrapText="1"/>
    </xf>
    <xf numFmtId="0" fontId="4" fillId="0" borderId="2" xfId="0" applyFont="1" applyBorder="1" applyAlignment="1" applyProtection="1">
      <alignment horizontal="left" vertical="center" wrapText="1"/>
    </xf>
    <xf numFmtId="0" fontId="4" fillId="0" borderId="6" xfId="0" applyFont="1" applyBorder="1" applyAlignment="1" applyProtection="1">
      <alignment horizontal="left" vertical="center" wrapText="1"/>
    </xf>
    <xf numFmtId="0" fontId="53" fillId="16" borderId="75" xfId="0" applyFont="1" applyFill="1" applyBorder="1" applyAlignment="1" applyProtection="1">
      <alignment horizontal="left" vertical="top" wrapText="1"/>
      <protection locked="0"/>
    </xf>
    <xf numFmtId="0" fontId="53" fillId="16" borderId="80" xfId="0" applyFont="1" applyFill="1" applyBorder="1" applyAlignment="1" applyProtection="1">
      <alignment horizontal="left" vertical="top" wrapText="1"/>
      <protection locked="0"/>
    </xf>
    <xf numFmtId="0" fontId="53" fillId="16" borderId="83" xfId="0" applyFont="1" applyFill="1" applyBorder="1" applyAlignment="1" applyProtection="1">
      <alignment horizontal="left" vertical="top" wrapText="1"/>
      <protection locked="0"/>
    </xf>
    <xf numFmtId="0" fontId="53" fillId="16" borderId="69" xfId="0" applyFont="1" applyFill="1" applyBorder="1" applyAlignment="1" applyProtection="1">
      <alignment horizontal="left" vertical="top" wrapText="1"/>
      <protection locked="0"/>
    </xf>
    <xf numFmtId="0" fontId="53" fillId="16" borderId="0" xfId="0" applyFont="1" applyFill="1" applyBorder="1" applyAlignment="1" applyProtection="1">
      <alignment horizontal="left" vertical="top" wrapText="1"/>
      <protection locked="0"/>
    </xf>
    <xf numFmtId="0" fontId="53" fillId="16" borderId="70" xfId="0" applyFont="1" applyFill="1" applyBorder="1" applyAlignment="1" applyProtection="1">
      <alignment horizontal="left" vertical="top" wrapText="1"/>
      <protection locked="0"/>
    </xf>
    <xf numFmtId="0" fontId="53" fillId="16" borderId="26" xfId="0" applyFont="1" applyFill="1" applyBorder="1" applyAlignment="1" applyProtection="1">
      <alignment horizontal="left" vertical="top" wrapText="1"/>
      <protection locked="0"/>
    </xf>
    <xf numFmtId="0" fontId="53" fillId="16" borderId="27" xfId="0" applyFont="1" applyFill="1" applyBorder="1" applyAlignment="1" applyProtection="1">
      <alignment horizontal="left" vertical="top" wrapText="1"/>
      <protection locked="0"/>
    </xf>
    <xf numFmtId="0" fontId="53" fillId="16" borderId="28" xfId="0" applyFont="1" applyFill="1" applyBorder="1" applyAlignment="1" applyProtection="1">
      <alignment horizontal="left" vertical="top" wrapText="1"/>
      <protection locked="0"/>
    </xf>
    <xf numFmtId="0" fontId="13" fillId="12" borderId="89" xfId="0" applyFont="1" applyFill="1" applyBorder="1" applyAlignment="1" applyProtection="1">
      <alignment horizontal="center" vertical="distributed" wrapText="1"/>
      <protection locked="0"/>
    </xf>
    <xf numFmtId="0" fontId="13" fillId="12" borderId="38" xfId="0" applyFont="1" applyFill="1" applyBorder="1" applyAlignment="1" applyProtection="1">
      <alignment horizontal="center" vertical="distributed" wrapText="1"/>
      <protection locked="0"/>
    </xf>
    <xf numFmtId="0" fontId="13" fillId="12" borderId="39" xfId="0" applyFont="1" applyFill="1" applyBorder="1" applyAlignment="1" applyProtection="1">
      <alignment horizontal="center" vertical="distributed" wrapText="1"/>
      <protection locked="0"/>
    </xf>
    <xf numFmtId="0" fontId="4" fillId="0" borderId="82" xfId="0" applyFont="1" applyBorder="1" applyAlignment="1" applyProtection="1">
      <alignment horizontal="center" vertical="center"/>
    </xf>
    <xf numFmtId="0" fontId="4" fillId="0" borderId="33" xfId="0" applyFont="1" applyBorder="1" applyAlignment="1" applyProtection="1">
      <alignment horizontal="center" vertical="center"/>
    </xf>
    <xf numFmtId="0" fontId="4" fillId="0" borderId="65" xfId="0" applyFont="1" applyBorder="1" applyAlignment="1" applyProtection="1">
      <alignment horizontal="center" vertical="center"/>
    </xf>
    <xf numFmtId="0" fontId="4" fillId="0" borderId="15" xfId="0" applyFont="1" applyBorder="1" applyAlignment="1" applyProtection="1">
      <alignment horizontal="center" vertical="center"/>
    </xf>
    <xf numFmtId="0" fontId="4" fillId="0" borderId="35" xfId="0" applyFont="1" applyBorder="1" applyAlignment="1" applyProtection="1">
      <alignment horizontal="center" vertical="center"/>
    </xf>
    <xf numFmtId="0" fontId="4" fillId="0" borderId="54" xfId="0" applyFont="1" applyBorder="1" applyAlignment="1" applyProtection="1">
      <alignment horizontal="center" vertical="center"/>
    </xf>
    <xf numFmtId="0" fontId="4" fillId="0" borderId="86" xfId="0" applyFont="1" applyFill="1" applyBorder="1" applyAlignment="1" applyProtection="1">
      <alignment horizontal="left" vertical="center" wrapText="1"/>
    </xf>
    <xf numFmtId="0" fontId="4" fillId="0" borderId="8" xfId="0" applyFont="1" applyFill="1" applyBorder="1" applyAlignment="1" applyProtection="1">
      <alignment horizontal="left" vertical="center" wrapText="1"/>
    </xf>
    <xf numFmtId="0" fontId="4" fillId="0" borderId="9" xfId="0" applyFont="1" applyFill="1" applyBorder="1" applyAlignment="1" applyProtection="1">
      <alignment horizontal="left" vertical="center" wrapText="1"/>
    </xf>
    <xf numFmtId="0" fontId="4" fillId="0" borderId="69"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0" borderId="14" xfId="0" applyFont="1" applyFill="1" applyBorder="1" applyAlignment="1" applyProtection="1">
      <alignment horizontal="left" vertical="center" wrapText="1"/>
    </xf>
    <xf numFmtId="0" fontId="4" fillId="0" borderId="26" xfId="0" applyFont="1" applyFill="1" applyBorder="1" applyAlignment="1" applyProtection="1">
      <alignment horizontal="left" vertical="center" wrapText="1"/>
    </xf>
    <xf numFmtId="0" fontId="4" fillId="0" borderId="27" xfId="0" applyFont="1" applyFill="1" applyBorder="1" applyAlignment="1" applyProtection="1">
      <alignment horizontal="left" vertical="center" wrapText="1"/>
    </xf>
    <xf numFmtId="0" fontId="4" fillId="0" borderId="94" xfId="0" applyFont="1" applyFill="1" applyBorder="1" applyAlignment="1" applyProtection="1">
      <alignment horizontal="left" vertical="center" wrapText="1"/>
    </xf>
    <xf numFmtId="0" fontId="5" fillId="12" borderId="49" xfId="0" applyFont="1" applyFill="1" applyBorder="1" applyAlignment="1" applyProtection="1">
      <alignment horizontal="left" vertical="center" wrapText="1"/>
      <protection locked="0"/>
    </xf>
    <xf numFmtId="0" fontId="5" fillId="12" borderId="2" xfId="0" applyFont="1" applyFill="1" applyBorder="1" applyAlignment="1" applyProtection="1">
      <alignment horizontal="left" vertical="center" wrapText="1"/>
      <protection locked="0"/>
    </xf>
    <xf numFmtId="0" fontId="5" fillId="12" borderId="1" xfId="0" applyFont="1" applyFill="1" applyBorder="1" applyAlignment="1" applyProtection="1">
      <alignment horizontal="left" vertical="center" wrapText="1"/>
      <protection locked="0"/>
    </xf>
    <xf numFmtId="0" fontId="5" fillId="12" borderId="6" xfId="0" applyFont="1" applyFill="1" applyBorder="1" applyAlignment="1" applyProtection="1">
      <alignment horizontal="left" vertical="center" wrapText="1"/>
      <protection locked="0"/>
    </xf>
    <xf numFmtId="0" fontId="4" fillId="0" borderId="3" xfId="0" applyNumberFormat="1" applyFont="1" applyFill="1" applyBorder="1" applyAlignment="1" applyProtection="1">
      <alignment horizontal="left" vertical="center"/>
    </xf>
    <xf numFmtId="0" fontId="4" fillId="0" borderId="2" xfId="0" applyNumberFormat="1" applyFont="1" applyFill="1" applyBorder="1" applyAlignment="1" applyProtection="1">
      <alignment horizontal="left" vertical="center"/>
    </xf>
    <xf numFmtId="0" fontId="4" fillId="0" borderId="6" xfId="0" applyNumberFormat="1" applyFont="1" applyFill="1" applyBorder="1" applyAlignment="1" applyProtection="1">
      <alignment horizontal="left" vertical="center"/>
    </xf>
    <xf numFmtId="0" fontId="4" fillId="12" borderId="3" xfId="0" applyFont="1" applyFill="1" applyBorder="1" applyAlignment="1" applyProtection="1">
      <alignment horizontal="center" vertical="center"/>
      <protection locked="0"/>
    </xf>
    <xf numFmtId="0" fontId="4" fillId="12" borderId="50" xfId="0" applyFont="1" applyFill="1" applyBorder="1" applyAlignment="1" applyProtection="1">
      <alignment horizontal="center" vertical="center"/>
      <protection locked="0"/>
    </xf>
    <xf numFmtId="0" fontId="4" fillId="16" borderId="3" xfId="0" applyFont="1" applyFill="1" applyBorder="1" applyAlignment="1" applyProtection="1">
      <alignment horizontal="center" vertical="center"/>
      <protection locked="0"/>
    </xf>
    <xf numFmtId="0" fontId="4" fillId="16" borderId="50" xfId="0" applyFont="1" applyFill="1" applyBorder="1" applyAlignment="1" applyProtection="1">
      <alignment horizontal="center" vertical="center"/>
      <protection locked="0"/>
    </xf>
    <xf numFmtId="0" fontId="4" fillId="0" borderId="37" xfId="0" applyFont="1" applyBorder="1" applyAlignment="1" applyProtection="1">
      <alignment horizontal="left" vertical="center"/>
    </xf>
    <xf numFmtId="0" fontId="4" fillId="0" borderId="33" xfId="0" applyFont="1" applyBorder="1" applyAlignment="1" applyProtection="1">
      <alignment horizontal="left" vertical="center"/>
    </xf>
    <xf numFmtId="0" fontId="4" fillId="0" borderId="65" xfId="0" applyFont="1" applyBorder="1" applyAlignment="1" applyProtection="1">
      <alignment horizontal="left" vertical="center"/>
    </xf>
    <xf numFmtId="0" fontId="4" fillId="12" borderId="37" xfId="0" applyFont="1" applyFill="1" applyBorder="1" applyAlignment="1" applyProtection="1">
      <alignment horizontal="center" vertical="center"/>
      <protection locked="0"/>
    </xf>
    <xf numFmtId="0" fontId="4" fillId="12" borderId="85" xfId="0" applyFont="1" applyFill="1" applyBorder="1" applyAlignment="1" applyProtection="1">
      <alignment horizontal="center" vertical="center"/>
      <protection locked="0"/>
    </xf>
    <xf numFmtId="0" fontId="5" fillId="10" borderId="23" xfId="0" applyFont="1" applyFill="1" applyBorder="1" applyAlignment="1" applyProtection="1">
      <alignment horizontal="center" vertical="center"/>
    </xf>
    <xf numFmtId="0" fontId="5" fillId="10" borderId="24" xfId="0" applyFont="1" applyFill="1" applyBorder="1" applyAlignment="1" applyProtection="1">
      <alignment horizontal="center" vertical="center"/>
    </xf>
    <xf numFmtId="0" fontId="5" fillId="10" borderId="91" xfId="0" applyFont="1" applyFill="1" applyBorder="1" applyAlignment="1" applyProtection="1">
      <alignment horizontal="center" vertical="center"/>
    </xf>
    <xf numFmtId="0" fontId="5" fillId="10" borderId="87" xfId="0" applyFont="1" applyFill="1" applyBorder="1" applyAlignment="1" applyProtection="1">
      <alignment horizontal="center" vertical="center"/>
    </xf>
    <xf numFmtId="0" fontId="5" fillId="10" borderId="12" xfId="0" applyFont="1" applyFill="1" applyBorder="1" applyAlignment="1" applyProtection="1">
      <alignment horizontal="center" vertical="center"/>
    </xf>
    <xf numFmtId="0" fontId="5" fillId="10" borderId="13" xfId="0" applyFont="1" applyFill="1" applyBorder="1" applyAlignment="1" applyProtection="1">
      <alignment horizontal="center" vertical="center"/>
    </xf>
    <xf numFmtId="0" fontId="13" fillId="10" borderId="92" xfId="0" applyFont="1" applyFill="1" applyBorder="1" applyAlignment="1" applyProtection="1">
      <alignment horizontal="center" vertical="center"/>
    </xf>
    <xf numFmtId="0" fontId="13" fillId="10" borderId="25" xfId="0" applyFont="1" applyFill="1" applyBorder="1" applyAlignment="1" applyProtection="1">
      <alignment horizontal="center" vertical="center"/>
    </xf>
    <xf numFmtId="0" fontId="13" fillId="10" borderId="48" xfId="0" applyFont="1" applyFill="1" applyBorder="1" applyAlignment="1" applyProtection="1">
      <alignment horizontal="center" vertical="center"/>
    </xf>
    <xf numFmtId="0" fontId="13" fillId="10" borderId="70" xfId="0" applyFont="1" applyFill="1" applyBorder="1" applyAlignment="1" applyProtection="1">
      <alignment horizontal="center" vertical="center"/>
    </xf>
    <xf numFmtId="0" fontId="13" fillId="10" borderId="11" xfId="0" applyFont="1" applyFill="1" applyBorder="1" applyAlignment="1" applyProtection="1">
      <alignment horizontal="center" vertical="center"/>
    </xf>
    <xf numFmtId="0" fontId="13" fillId="10" borderId="93" xfId="0" applyFont="1" applyFill="1" applyBorder="1" applyAlignment="1" applyProtection="1">
      <alignment horizontal="center" vertical="center"/>
    </xf>
    <xf numFmtId="0" fontId="4" fillId="0" borderId="49"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3" xfId="0" applyFont="1" applyBorder="1" applyAlignment="1" applyProtection="1">
      <alignment horizontal="left" vertical="center"/>
    </xf>
    <xf numFmtId="0" fontId="4" fillId="0" borderId="2" xfId="0" applyFont="1" applyBorder="1" applyAlignment="1" applyProtection="1">
      <alignment horizontal="left" vertical="center"/>
    </xf>
    <xf numFmtId="0" fontId="4" fillId="0" borderId="6" xfId="0" applyFont="1" applyBorder="1" applyAlignment="1" applyProtection="1">
      <alignment horizontal="left" vertical="center"/>
    </xf>
    <xf numFmtId="0" fontId="4" fillId="17" borderId="3" xfId="0" applyNumberFormat="1" applyFont="1" applyFill="1" applyBorder="1" applyAlignment="1" applyProtection="1">
      <alignment horizontal="center" vertical="center" wrapText="1"/>
    </xf>
    <xf numFmtId="0" fontId="4" fillId="17" borderId="50" xfId="0" applyNumberFormat="1" applyFont="1" applyFill="1" applyBorder="1" applyAlignment="1" applyProtection="1">
      <alignment horizontal="center" vertical="center" wrapText="1"/>
    </xf>
    <xf numFmtId="0" fontId="4" fillId="12" borderId="3" xfId="0" applyFont="1" applyFill="1" applyBorder="1" applyAlignment="1" applyProtection="1">
      <alignment horizontal="center" vertical="center" shrinkToFit="1"/>
      <protection locked="0"/>
    </xf>
    <xf numFmtId="0" fontId="4" fillId="12" borderId="50" xfId="0" applyFont="1" applyFill="1" applyBorder="1" applyAlignment="1" applyProtection="1">
      <alignment horizontal="center" vertical="center" shrinkToFit="1"/>
      <protection locked="0"/>
    </xf>
    <xf numFmtId="0" fontId="4" fillId="0" borderId="3" xfId="0" applyFont="1" applyBorder="1" applyAlignment="1" applyProtection="1">
      <alignment horizontal="center" vertical="center"/>
    </xf>
    <xf numFmtId="0" fontId="44" fillId="9" borderId="0" xfId="0" applyFont="1" applyFill="1" applyBorder="1" applyAlignment="1">
      <alignment horizontal="left" vertical="center"/>
    </xf>
    <xf numFmtId="0" fontId="44" fillId="9" borderId="0" xfId="0" applyFont="1" applyFill="1" applyBorder="1" applyAlignment="1">
      <alignment horizontal="left" vertical="center" wrapText="1"/>
    </xf>
    <xf numFmtId="0" fontId="4" fillId="0" borderId="0" xfId="0" applyFont="1" applyBorder="1" applyAlignment="1" applyProtection="1">
      <alignment horizontal="left" vertical="center" wrapText="1"/>
    </xf>
    <xf numFmtId="0" fontId="4" fillId="0" borderId="0" xfId="0" applyFont="1" applyAlignment="1" applyProtection="1">
      <alignment horizontal="left" vertical="center"/>
    </xf>
    <xf numFmtId="0" fontId="4" fillId="0" borderId="0" xfId="0" applyFont="1" applyBorder="1" applyAlignment="1" applyProtection="1">
      <alignment horizontal="left" vertical="center"/>
    </xf>
    <xf numFmtId="0" fontId="4" fillId="0" borderId="0" xfId="0" applyFont="1" applyAlignment="1" applyProtection="1">
      <alignment horizontal="left" vertical="center" wrapText="1"/>
    </xf>
    <xf numFmtId="0" fontId="15" fillId="0" borderId="30" xfId="0" applyFont="1" applyFill="1" applyBorder="1" applyAlignment="1" applyProtection="1">
      <alignment horizontal="center" vertical="center" wrapText="1"/>
    </xf>
    <xf numFmtId="0" fontId="15" fillId="0" borderId="38" xfId="0" applyFont="1" applyFill="1" applyBorder="1" applyAlignment="1" applyProtection="1">
      <alignment horizontal="center" vertical="center" wrapText="1"/>
    </xf>
    <xf numFmtId="0" fontId="15" fillId="0" borderId="88" xfId="0" applyFont="1" applyFill="1" applyBorder="1" applyAlignment="1" applyProtection="1">
      <alignment horizontal="center" vertical="center" wrapText="1"/>
    </xf>
    <xf numFmtId="0" fontId="13" fillId="12" borderId="89" xfId="0" applyFont="1" applyFill="1" applyBorder="1" applyAlignment="1" applyProtection="1">
      <alignment horizontal="center" vertical="center" wrapText="1"/>
      <protection locked="0"/>
    </xf>
    <xf numFmtId="0" fontId="13" fillId="12" borderId="39" xfId="0" applyFont="1" applyFill="1" applyBorder="1" applyAlignment="1" applyProtection="1">
      <alignment horizontal="center" vertical="center" wrapText="1"/>
      <protection locked="0"/>
    </xf>
    <xf numFmtId="0" fontId="4" fillId="0" borderId="61" xfId="0" applyFont="1" applyBorder="1" applyAlignment="1" applyProtection="1">
      <alignment horizontal="center" vertical="center"/>
    </xf>
    <xf numFmtId="0" fontId="4" fillId="0" borderId="16" xfId="0" applyNumberFormat="1" applyFont="1" applyFill="1" applyBorder="1" applyAlignment="1" applyProtection="1">
      <alignment horizontal="left" vertical="center"/>
    </xf>
    <xf numFmtId="0" fontId="4" fillId="0" borderId="81" xfId="0" applyNumberFormat="1" applyFont="1" applyFill="1" applyBorder="1" applyAlignment="1" applyProtection="1">
      <alignment horizontal="left" vertical="center"/>
    </xf>
    <xf numFmtId="0" fontId="4" fillId="0" borderId="35" xfId="0" applyNumberFormat="1" applyFont="1" applyFill="1" applyBorder="1" applyAlignment="1" applyProtection="1">
      <alignment horizontal="left" vertical="center"/>
    </xf>
    <xf numFmtId="0" fontId="4" fillId="0" borderId="36" xfId="0" applyNumberFormat="1" applyFont="1" applyFill="1" applyBorder="1" applyAlignment="1" applyProtection="1">
      <alignment horizontal="left" vertical="center"/>
    </xf>
    <xf numFmtId="0" fontId="4" fillId="16" borderId="16" xfId="0" applyFont="1" applyFill="1" applyBorder="1" applyAlignment="1" applyProtection="1">
      <alignment horizontal="center" vertical="center"/>
      <protection locked="0"/>
    </xf>
    <xf numFmtId="0" fontId="4" fillId="16" borderId="36" xfId="0" applyFont="1" applyFill="1" applyBorder="1" applyAlignment="1" applyProtection="1">
      <alignment horizontal="center" vertical="center"/>
      <protection locked="0"/>
    </xf>
    <xf numFmtId="0" fontId="4" fillId="0" borderId="20" xfId="0" applyFont="1" applyBorder="1" applyAlignment="1" applyProtection="1">
      <alignment horizontal="center" vertical="center"/>
    </xf>
    <xf numFmtId="166" fontId="4" fillId="0" borderId="37" xfId="0" applyNumberFormat="1" applyFont="1" applyFill="1" applyBorder="1" applyAlignment="1" applyProtection="1">
      <alignment horizontal="center" vertical="center"/>
    </xf>
    <xf numFmtId="166" fontId="4" fillId="0" borderId="33" xfId="0" applyNumberFormat="1" applyFont="1" applyFill="1" applyBorder="1" applyAlignment="1" applyProtection="1">
      <alignment horizontal="center" vertical="center"/>
    </xf>
    <xf numFmtId="0" fontId="4" fillId="0" borderId="21" xfId="0" applyNumberFormat="1" applyFont="1" applyFill="1" applyBorder="1" applyAlignment="1" applyProtection="1">
      <alignment horizontal="center" vertical="center"/>
    </xf>
    <xf numFmtId="166" fontId="4" fillId="0" borderId="85" xfId="0" applyNumberFormat="1" applyFont="1" applyFill="1" applyBorder="1" applyAlignment="1" applyProtection="1">
      <alignment horizontal="center" vertical="center"/>
    </xf>
    <xf numFmtId="0" fontId="5" fillId="10" borderId="15" xfId="0" applyFont="1" applyFill="1" applyBorder="1" applyAlignment="1" applyProtection="1">
      <alignment horizontal="center" vertical="center"/>
    </xf>
    <xf numFmtId="0" fontId="5" fillId="10" borderId="35" xfId="0" applyFont="1" applyFill="1" applyBorder="1" applyAlignment="1" applyProtection="1">
      <alignment horizontal="center" vertical="center"/>
    </xf>
    <xf numFmtId="0" fontId="5" fillId="10" borderId="36" xfId="0" applyFont="1" applyFill="1" applyBorder="1" applyAlignment="1" applyProtection="1">
      <alignment horizontal="center" vertical="center"/>
    </xf>
    <xf numFmtId="14" fontId="4" fillId="12" borderId="3" xfId="0" applyNumberFormat="1" applyFont="1" applyFill="1" applyBorder="1" applyAlignment="1" applyProtection="1">
      <alignment horizontal="center" vertical="center"/>
      <protection locked="0"/>
    </xf>
    <xf numFmtId="14" fontId="4" fillId="12" borderId="50" xfId="0" applyNumberFormat="1" applyFont="1" applyFill="1" applyBorder="1" applyAlignment="1" applyProtection="1">
      <alignment horizontal="center" vertical="center"/>
      <protection locked="0"/>
    </xf>
    <xf numFmtId="0" fontId="4" fillId="16" borderId="3" xfId="5" applyNumberFormat="1" applyFont="1" applyFill="1" applyBorder="1" applyAlignment="1" applyProtection="1">
      <alignment horizontal="center" vertical="center"/>
      <protection locked="0"/>
    </xf>
    <xf numFmtId="0" fontId="4" fillId="16" borderId="50" xfId="5" applyNumberFormat="1" applyFont="1" applyFill="1" applyBorder="1" applyAlignment="1" applyProtection="1">
      <alignment horizontal="center" vertical="center"/>
      <protection locked="0"/>
    </xf>
    <xf numFmtId="0" fontId="44" fillId="13" borderId="32" xfId="0" applyFont="1" applyFill="1" applyBorder="1" applyAlignment="1">
      <alignment horizontal="center" vertical="center"/>
    </xf>
    <xf numFmtId="0" fontId="44" fillId="13" borderId="56" xfId="0" applyFont="1" applyFill="1" applyBorder="1" applyAlignment="1">
      <alignment horizontal="center" vertical="center"/>
    </xf>
    <xf numFmtId="0" fontId="4" fillId="16" borderId="37" xfId="5" applyNumberFormat="1" applyFont="1" applyFill="1" applyBorder="1" applyAlignment="1" applyProtection="1">
      <alignment horizontal="center" vertical="center"/>
      <protection locked="0"/>
    </xf>
    <xf numFmtId="0" fontId="4" fillId="16" borderId="85" xfId="5" applyNumberFormat="1" applyFont="1" applyFill="1" applyBorder="1" applyAlignment="1" applyProtection="1">
      <alignment horizontal="center" vertical="center"/>
      <protection locked="0"/>
    </xf>
    <xf numFmtId="0" fontId="4" fillId="10" borderId="3" xfId="0" applyFont="1" applyFill="1" applyBorder="1" applyAlignment="1" applyProtection="1">
      <alignment horizontal="center" vertical="center"/>
    </xf>
    <xf numFmtId="0" fontId="4" fillId="10" borderId="50" xfId="0" applyFont="1" applyFill="1" applyBorder="1" applyAlignment="1" applyProtection="1">
      <alignment horizontal="center" vertical="center"/>
    </xf>
    <xf numFmtId="178" fontId="4" fillId="12" borderId="3" xfId="5" applyNumberFormat="1" applyFont="1" applyFill="1" applyBorder="1" applyAlignment="1" applyProtection="1">
      <alignment horizontal="center" vertical="center"/>
      <protection locked="0"/>
    </xf>
    <xf numFmtId="178" fontId="4" fillId="12" borderId="50" xfId="5" applyNumberFormat="1" applyFont="1" applyFill="1" applyBorder="1" applyAlignment="1" applyProtection="1">
      <alignment horizontal="center" vertical="center"/>
      <protection locked="0"/>
    </xf>
    <xf numFmtId="0" fontId="4" fillId="0" borderId="21" xfId="0" applyFont="1" applyBorder="1" applyAlignment="1" applyProtection="1">
      <alignment horizontal="left" vertical="center"/>
    </xf>
    <xf numFmtId="178" fontId="4" fillId="12" borderId="37" xfId="5" applyNumberFormat="1" applyFont="1" applyFill="1" applyBorder="1" applyAlignment="1" applyProtection="1">
      <alignment horizontal="center" vertical="center"/>
      <protection locked="0"/>
    </xf>
    <xf numFmtId="178" fontId="4" fillId="12" borderId="85" xfId="5" applyNumberFormat="1" applyFont="1" applyFill="1" applyBorder="1" applyAlignment="1" applyProtection="1">
      <alignment horizontal="center" vertical="center"/>
      <protection locked="0"/>
    </xf>
    <xf numFmtId="0" fontId="4" fillId="0" borderId="18" xfId="0" applyFont="1" applyBorder="1" applyAlignment="1" applyProtection="1">
      <alignment horizontal="center" vertical="center"/>
    </xf>
    <xf numFmtId="0" fontId="7" fillId="12" borderId="6" xfId="0" applyFont="1" applyFill="1" applyBorder="1" applyAlignment="1" applyProtection="1">
      <alignment horizontal="left" vertical="center" shrinkToFit="1"/>
      <protection locked="0"/>
    </xf>
    <xf numFmtId="0" fontId="5" fillId="15" borderId="16" xfId="0" applyFont="1" applyFill="1" applyBorder="1" applyAlignment="1" applyProtection="1">
      <alignment horizontal="center" vertical="center" wrapText="1"/>
    </xf>
    <xf numFmtId="0" fontId="5" fillId="15" borderId="36" xfId="0" applyFont="1" applyFill="1" applyBorder="1" applyAlignment="1" applyProtection="1">
      <alignment horizontal="center" vertical="center" wrapText="1"/>
    </xf>
    <xf numFmtId="0" fontId="5" fillId="10" borderId="61" xfId="0" applyFont="1" applyFill="1" applyBorder="1" applyAlignment="1" applyProtection="1">
      <alignment horizontal="center" vertical="center"/>
    </xf>
    <xf numFmtId="0" fontId="5" fillId="10" borderId="81" xfId="0" applyFont="1" applyFill="1" applyBorder="1" applyAlignment="1" applyProtection="1">
      <alignment horizontal="center" vertical="center"/>
    </xf>
    <xf numFmtId="0" fontId="5" fillId="10" borderId="81" xfId="0" applyFont="1" applyFill="1" applyBorder="1" applyAlignment="1" applyProtection="1">
      <alignment horizontal="left" vertical="center"/>
    </xf>
    <xf numFmtId="0" fontId="4" fillId="0" borderId="1" xfId="0" applyFont="1" applyBorder="1" applyAlignment="1" applyProtection="1">
      <alignment vertical="center" wrapText="1"/>
    </xf>
    <xf numFmtId="0" fontId="5" fillId="10" borderId="18" xfId="0" applyFont="1" applyFill="1" applyBorder="1" applyAlignment="1" applyProtection="1">
      <alignment horizontal="center" vertical="center"/>
    </xf>
    <xf numFmtId="0" fontId="5" fillId="10" borderId="1" xfId="0" applyFont="1" applyFill="1" applyBorder="1" applyAlignment="1" applyProtection="1">
      <alignment horizontal="center" vertical="center"/>
    </xf>
    <xf numFmtId="0" fontId="5" fillId="10" borderId="1" xfId="0" applyFont="1" applyFill="1" applyBorder="1" applyAlignment="1" applyProtection="1">
      <alignment horizontal="left" vertical="center"/>
    </xf>
    <xf numFmtId="0" fontId="4" fillId="0" borderId="18" xfId="0" applyFont="1" applyFill="1" applyBorder="1" applyAlignment="1" applyProtection="1">
      <alignment horizontal="center" vertical="center"/>
    </xf>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left" vertical="center"/>
    </xf>
    <xf numFmtId="0" fontId="7" fillId="0" borderId="1" xfId="0" applyFont="1" applyFill="1" applyBorder="1" applyAlignment="1" applyProtection="1">
      <alignment horizontal="left" vertical="center"/>
    </xf>
    <xf numFmtId="0" fontId="5" fillId="10" borderId="20" xfId="0" applyFont="1" applyFill="1" applyBorder="1" applyAlignment="1" applyProtection="1">
      <alignment horizontal="right" vertical="center"/>
    </xf>
    <xf numFmtId="0" fontId="5" fillId="10" borderId="21" xfId="0" applyFont="1" applyFill="1" applyBorder="1" applyAlignment="1" applyProtection="1">
      <alignment horizontal="right" vertical="center"/>
    </xf>
    <xf numFmtId="0" fontId="4" fillId="0" borderId="3" xfId="0" applyFont="1" applyFill="1" applyBorder="1" applyAlignment="1" applyProtection="1">
      <alignment horizontal="left" vertical="center"/>
    </xf>
    <xf numFmtId="0" fontId="17" fillId="0" borderId="6" xfId="0" applyFont="1" applyFill="1" applyBorder="1" applyAlignment="1" applyProtection="1">
      <alignment horizontal="left" vertical="center"/>
    </xf>
    <xf numFmtId="0" fontId="4" fillId="0" borderId="1" xfId="0" applyFont="1" applyFill="1" applyBorder="1" applyAlignment="1" applyProtection="1">
      <alignment horizontal="left" vertical="center" wrapText="1"/>
    </xf>
    <xf numFmtId="0" fontId="5" fillId="10" borderId="82" xfId="0" applyFont="1" applyFill="1" applyBorder="1" applyAlignment="1" applyProtection="1">
      <alignment horizontal="right" vertical="center"/>
    </xf>
    <xf numFmtId="0" fontId="5" fillId="10" borderId="37" xfId="0" applyFont="1" applyFill="1" applyBorder="1" applyAlignment="1" applyProtection="1">
      <alignment horizontal="right" vertical="center"/>
    </xf>
    <xf numFmtId="0" fontId="7" fillId="12" borderId="2" xfId="0" applyFont="1" applyFill="1" applyBorder="1" applyAlignment="1" applyProtection="1">
      <alignment horizontal="left" vertical="center" shrinkToFit="1"/>
      <protection locked="0"/>
    </xf>
    <xf numFmtId="44" fontId="4" fillId="17" borderId="19" xfId="5" applyNumberFormat="1" applyFont="1" applyFill="1" applyBorder="1" applyAlignment="1" applyProtection="1">
      <alignment horizontal="center" vertical="center"/>
    </xf>
    <xf numFmtId="0" fontId="4" fillId="12" borderId="6" xfId="0" applyFont="1" applyFill="1" applyBorder="1" applyAlignment="1" applyProtection="1">
      <alignment horizontal="left" vertical="center" shrinkToFit="1"/>
      <protection locked="0"/>
    </xf>
    <xf numFmtId="0" fontId="5" fillId="29" borderId="18" xfId="0" applyFont="1" applyFill="1" applyBorder="1" applyAlignment="1" applyProtection="1">
      <alignment horizontal="center" vertical="center"/>
    </xf>
    <xf numFmtId="0" fontId="5" fillId="29" borderId="1" xfId="0" applyFont="1" applyFill="1" applyBorder="1" applyAlignment="1" applyProtection="1">
      <alignment horizontal="center" vertical="center"/>
    </xf>
    <xf numFmtId="0" fontId="5" fillId="29" borderId="1" xfId="0" applyFont="1" applyFill="1" applyBorder="1" applyAlignment="1" applyProtection="1">
      <alignment horizontal="left" vertical="center"/>
    </xf>
    <xf numFmtId="0" fontId="4" fillId="0" borderId="3" xfId="0" applyFont="1" applyFill="1" applyBorder="1" applyAlignment="1" applyProtection="1">
      <alignment horizontal="left" vertical="center" wrapText="1"/>
    </xf>
    <xf numFmtId="0" fontId="5" fillId="22" borderId="82" xfId="0" applyFont="1" applyFill="1" applyBorder="1" applyAlignment="1" applyProtection="1">
      <alignment horizontal="right" vertical="center"/>
    </xf>
    <xf numFmtId="0" fontId="5" fillId="22" borderId="37" xfId="0" applyFont="1" applyFill="1" applyBorder="1" applyAlignment="1" applyProtection="1">
      <alignment horizontal="right" vertical="center"/>
    </xf>
    <xf numFmtId="0" fontId="32" fillId="20" borderId="49" xfId="0" applyFont="1" applyFill="1" applyBorder="1" applyAlignment="1" applyProtection="1">
      <alignment horizontal="center" vertical="center"/>
    </xf>
    <xf numFmtId="0" fontId="32" fillId="20" borderId="3" xfId="0" applyFont="1" applyFill="1" applyBorder="1" applyAlignment="1" applyProtection="1">
      <alignment horizontal="center" vertical="center"/>
    </xf>
    <xf numFmtId="0" fontId="4" fillId="0" borderId="34" xfId="0" applyFont="1" applyBorder="1" applyAlignment="1" applyProtection="1">
      <alignment horizontal="center" vertical="center"/>
    </xf>
    <xf numFmtId="0" fontId="5" fillId="0" borderId="1" xfId="0" applyFont="1" applyFill="1" applyBorder="1" applyAlignment="1" applyProtection="1">
      <alignment horizontal="left" vertical="center"/>
    </xf>
    <xf numFmtId="0" fontId="20" fillId="0" borderId="1" xfId="0" applyFont="1" applyFill="1" applyBorder="1" applyAlignment="1" applyProtection="1">
      <alignment horizontal="left" vertical="center"/>
    </xf>
    <xf numFmtId="0" fontId="5" fillId="0" borderId="18" xfId="0" applyFont="1" applyBorder="1" applyAlignment="1" applyProtection="1">
      <alignment horizontal="center" vertical="center"/>
    </xf>
    <xf numFmtId="0" fontId="32" fillId="20" borderId="20" xfId="0" applyFont="1" applyFill="1" applyBorder="1" applyAlignment="1" applyProtection="1">
      <alignment horizontal="center" vertical="center"/>
    </xf>
    <xf numFmtId="0" fontId="32" fillId="20" borderId="21" xfId="0" applyFont="1" applyFill="1" applyBorder="1" applyAlignment="1" applyProtection="1">
      <alignment horizontal="center" vertical="center"/>
    </xf>
    <xf numFmtId="0" fontId="5" fillId="12" borderId="18" xfId="0" applyFont="1" applyFill="1" applyBorder="1" applyAlignment="1" applyProtection="1">
      <alignment horizontal="left" vertical="center"/>
      <protection locked="0"/>
    </xf>
    <xf numFmtId="0" fontId="5" fillId="12" borderId="1" xfId="0" applyFont="1" applyFill="1" applyBorder="1" applyAlignment="1" applyProtection="1">
      <alignment horizontal="left" vertical="center"/>
      <protection locked="0"/>
    </xf>
    <xf numFmtId="0" fontId="5" fillId="12" borderId="20" xfId="0" applyFont="1" applyFill="1" applyBorder="1" applyAlignment="1" applyProtection="1">
      <alignment horizontal="left" vertical="center"/>
      <protection locked="0"/>
    </xf>
    <xf numFmtId="0" fontId="5" fillId="12" borderId="21" xfId="0" applyFont="1" applyFill="1" applyBorder="1" applyAlignment="1" applyProtection="1">
      <alignment horizontal="left" vertical="center"/>
      <protection locked="0"/>
    </xf>
    <xf numFmtId="0" fontId="40" fillId="20" borderId="23" xfId="0" applyFont="1" applyFill="1" applyBorder="1" applyAlignment="1" applyProtection="1">
      <alignment horizontal="center" vertical="center"/>
    </xf>
    <xf numFmtId="0" fontId="40" fillId="20" borderId="24" xfId="0" applyFont="1" applyFill="1" applyBorder="1" applyAlignment="1" applyProtection="1">
      <alignment horizontal="center" vertical="center"/>
    </xf>
    <xf numFmtId="0" fontId="40" fillId="20" borderId="25" xfId="0" applyFont="1" applyFill="1" applyBorder="1" applyAlignment="1" applyProtection="1">
      <alignment horizontal="center" vertical="center"/>
    </xf>
    <xf numFmtId="0" fontId="40" fillId="20" borderId="26" xfId="0" applyFont="1" applyFill="1" applyBorder="1" applyAlignment="1" applyProtection="1">
      <alignment horizontal="center" vertical="center"/>
    </xf>
    <xf numFmtId="0" fontId="40" fillId="20" borderId="27" xfId="0" applyFont="1" applyFill="1" applyBorder="1" applyAlignment="1" applyProtection="1">
      <alignment horizontal="center" vertical="center"/>
    </xf>
    <xf numFmtId="0" fontId="40" fillId="20" borderId="28" xfId="0" applyFont="1" applyFill="1" applyBorder="1" applyAlignment="1" applyProtection="1">
      <alignment horizontal="center" vertical="center"/>
    </xf>
    <xf numFmtId="0" fontId="5" fillId="0" borderId="31" xfId="0" applyFont="1" applyBorder="1" applyAlignment="1" applyProtection="1">
      <alignment horizontal="center" vertical="center"/>
    </xf>
    <xf numFmtId="0" fontId="34" fillId="14" borderId="30" xfId="0" applyFont="1" applyFill="1" applyBorder="1" applyAlignment="1" applyProtection="1">
      <alignment horizontal="center" vertical="center"/>
    </xf>
    <xf numFmtId="0" fontId="34" fillId="14" borderId="38" xfId="0" applyFont="1" applyFill="1" applyBorder="1" applyAlignment="1" applyProtection="1">
      <alignment horizontal="center" vertical="center"/>
    </xf>
    <xf numFmtId="0" fontId="34" fillId="14" borderId="39" xfId="0" applyFont="1" applyFill="1" applyBorder="1" applyAlignment="1" applyProtection="1">
      <alignment horizontal="center" vertical="center"/>
    </xf>
    <xf numFmtId="0" fontId="26" fillId="20" borderId="15" xfId="0" applyFont="1" applyFill="1" applyBorder="1" applyAlignment="1" applyProtection="1">
      <alignment horizontal="center" vertical="center"/>
    </xf>
    <xf numFmtId="0" fontId="26" fillId="20" borderId="35" xfId="0" applyFont="1" applyFill="1" applyBorder="1" applyAlignment="1" applyProtection="1">
      <alignment horizontal="center" vertical="center"/>
    </xf>
    <xf numFmtId="0" fontId="26" fillId="20" borderId="36" xfId="0" applyFont="1" applyFill="1" applyBorder="1" applyAlignment="1" applyProtection="1">
      <alignment horizontal="center" vertical="center"/>
    </xf>
    <xf numFmtId="0" fontId="44" fillId="17" borderId="96" xfId="0" applyFont="1" applyFill="1" applyBorder="1" applyAlignment="1">
      <alignment horizontal="center" vertical="center"/>
    </xf>
    <xf numFmtId="0" fontId="44" fillId="17" borderId="97" xfId="0" applyFont="1" applyFill="1" applyBorder="1" applyAlignment="1">
      <alignment horizontal="center" vertical="center"/>
    </xf>
    <xf numFmtId="0" fontId="4" fillId="16" borderId="95" xfId="5" applyNumberFormat="1" applyFont="1" applyFill="1" applyBorder="1" applyAlignment="1" applyProtection="1">
      <alignment horizontal="center" vertical="center"/>
      <protection locked="0"/>
    </xf>
    <xf numFmtId="0" fontId="4" fillId="16" borderId="58" xfId="5" applyNumberFormat="1" applyFont="1" applyFill="1" applyBorder="1" applyAlignment="1" applyProtection="1">
      <alignment horizontal="center" vertical="center"/>
      <protection locked="0"/>
    </xf>
    <xf numFmtId="0" fontId="4" fillId="16" borderId="37" xfId="0" applyFont="1" applyFill="1" applyBorder="1" applyAlignment="1" applyProtection="1">
      <alignment horizontal="center" vertical="center"/>
      <protection locked="0"/>
    </xf>
    <xf numFmtId="0" fontId="4" fillId="16" borderId="85" xfId="0" applyFont="1" applyFill="1" applyBorder="1" applyAlignment="1" applyProtection="1">
      <alignment horizontal="center" vertical="center"/>
      <protection locked="0"/>
    </xf>
    <xf numFmtId="14" fontId="4" fillId="16" borderId="3" xfId="0" applyNumberFormat="1" applyFont="1" applyFill="1" applyBorder="1" applyAlignment="1" applyProtection="1">
      <alignment horizontal="center" vertical="center"/>
      <protection locked="0"/>
    </xf>
    <xf numFmtId="14" fontId="4" fillId="16" borderId="50" xfId="0" applyNumberFormat="1" applyFont="1" applyFill="1" applyBorder="1" applyAlignment="1" applyProtection="1">
      <alignment horizontal="center" vertical="center"/>
      <protection locked="0"/>
    </xf>
    <xf numFmtId="0" fontId="55" fillId="7" borderId="23" xfId="0" applyFont="1" applyFill="1" applyBorder="1" applyAlignment="1" applyProtection="1">
      <alignment horizontal="center" vertical="center"/>
    </xf>
    <xf numFmtId="0" fontId="55" fillId="7" borderId="24" xfId="0" applyFont="1" applyFill="1" applyBorder="1" applyAlignment="1" applyProtection="1">
      <alignment horizontal="center" vertical="center"/>
    </xf>
    <xf numFmtId="0" fontId="55" fillId="7" borderId="25" xfId="0" applyFont="1" applyFill="1" applyBorder="1" applyAlignment="1" applyProtection="1">
      <alignment horizontal="center" vertical="center"/>
    </xf>
    <xf numFmtId="0" fontId="55" fillId="7" borderId="26" xfId="0" applyFont="1" applyFill="1" applyBorder="1" applyAlignment="1" applyProtection="1">
      <alignment horizontal="center" vertical="center"/>
    </xf>
    <xf numFmtId="0" fontId="55" fillId="7" borderId="27" xfId="0" applyFont="1" applyFill="1" applyBorder="1" applyAlignment="1" applyProtection="1">
      <alignment horizontal="center" vertical="center"/>
    </xf>
    <xf numFmtId="0" fontId="55" fillId="7" borderId="28" xfId="0" applyFont="1" applyFill="1" applyBorder="1" applyAlignment="1" applyProtection="1">
      <alignment horizontal="center" vertical="center"/>
    </xf>
    <xf numFmtId="0" fontId="13" fillId="16" borderId="89" xfId="0" applyFont="1" applyFill="1" applyBorder="1" applyAlignment="1" applyProtection="1">
      <alignment horizontal="center" vertical="distributed" wrapText="1"/>
      <protection locked="0"/>
    </xf>
    <xf numFmtId="0" fontId="13" fillId="16" borderId="38" xfId="0" applyFont="1" applyFill="1" applyBorder="1" applyAlignment="1" applyProtection="1">
      <alignment horizontal="center" vertical="distributed" wrapText="1"/>
      <protection locked="0"/>
    </xf>
    <xf numFmtId="0" fontId="13" fillId="16" borderId="39" xfId="0" applyFont="1" applyFill="1" applyBorder="1" applyAlignment="1" applyProtection="1">
      <alignment horizontal="center" vertical="distributed" wrapText="1"/>
      <protection locked="0"/>
    </xf>
    <xf numFmtId="0" fontId="13" fillId="16" borderId="89" xfId="0" applyFont="1" applyFill="1" applyBorder="1" applyAlignment="1" applyProtection="1">
      <alignment horizontal="center" vertical="center" wrapText="1"/>
      <protection locked="0"/>
    </xf>
    <xf numFmtId="0" fontId="13" fillId="16" borderId="39" xfId="0" applyFont="1" applyFill="1" applyBorder="1" applyAlignment="1" applyProtection="1">
      <alignment horizontal="center" vertical="center" wrapText="1"/>
      <protection locked="0"/>
    </xf>
    <xf numFmtId="0" fontId="25" fillId="20" borderId="23" xfId="0" applyFont="1" applyFill="1" applyBorder="1" applyAlignment="1" applyProtection="1">
      <alignment horizontal="center" vertical="center"/>
    </xf>
    <xf numFmtId="0" fontId="25" fillId="20" borderId="24" xfId="0" applyFont="1" applyFill="1" applyBorder="1" applyAlignment="1" applyProtection="1">
      <alignment horizontal="center" vertical="center"/>
    </xf>
    <xf numFmtId="0" fontId="25" fillId="20" borderId="25" xfId="0" applyFont="1" applyFill="1" applyBorder="1" applyAlignment="1" applyProtection="1">
      <alignment horizontal="center" vertical="center"/>
    </xf>
    <xf numFmtId="0" fontId="25" fillId="20" borderId="26" xfId="0" applyFont="1" applyFill="1" applyBorder="1" applyAlignment="1" applyProtection="1">
      <alignment horizontal="center" vertical="center"/>
    </xf>
    <xf numFmtId="0" fontId="25" fillId="20" borderId="27" xfId="0" applyFont="1" applyFill="1" applyBorder="1" applyAlignment="1" applyProtection="1">
      <alignment horizontal="center" vertical="center"/>
    </xf>
    <xf numFmtId="0" fontId="25" fillId="20" borderId="28" xfId="0" applyFont="1" applyFill="1" applyBorder="1" applyAlignment="1" applyProtection="1">
      <alignment horizontal="center" vertical="center"/>
    </xf>
    <xf numFmtId="0" fontId="31" fillId="10" borderId="31" xfId="0" applyFont="1" applyFill="1" applyBorder="1" applyAlignment="1" applyProtection="1">
      <alignment horizontal="center" vertical="center"/>
    </xf>
    <xf numFmtId="0" fontId="4" fillId="0" borderId="31" xfId="0" applyFont="1" applyBorder="1" applyAlignment="1" applyProtection="1">
      <alignment horizontal="center" vertical="center" wrapText="1"/>
    </xf>
    <xf numFmtId="0" fontId="39" fillId="26" borderId="74" xfId="0" applyFont="1" applyFill="1" applyBorder="1" applyAlignment="1" applyProtection="1">
      <alignment horizontal="center" vertical="center"/>
    </xf>
    <xf numFmtId="0" fontId="39" fillId="26" borderId="45" xfId="0" applyFont="1" applyFill="1" applyBorder="1" applyAlignment="1" applyProtection="1">
      <alignment horizontal="center" vertical="center"/>
    </xf>
    <xf numFmtId="0" fontId="39" fillId="26" borderId="46" xfId="0" applyFont="1" applyFill="1" applyBorder="1" applyAlignment="1" applyProtection="1">
      <alignment horizontal="center" vertical="center"/>
    </xf>
    <xf numFmtId="0" fontId="45" fillId="27" borderId="51" xfId="0" applyFont="1" applyFill="1" applyBorder="1" applyAlignment="1" applyProtection="1">
      <alignment horizontal="center" vertical="center"/>
    </xf>
    <xf numFmtId="0" fontId="45" fillId="27" borderId="63" xfId="0" applyFont="1" applyFill="1" applyBorder="1" applyAlignment="1" applyProtection="1">
      <alignment horizontal="center" vertical="center"/>
    </xf>
    <xf numFmtId="0" fontId="45" fillId="27" borderId="52" xfId="0" applyFont="1" applyFill="1" applyBorder="1" applyAlignment="1" applyProtection="1">
      <alignment horizontal="center" vertical="center"/>
    </xf>
    <xf numFmtId="0" fontId="22" fillId="0" borderId="62" xfId="3" applyFont="1" applyBorder="1" applyAlignment="1" applyProtection="1">
      <alignment horizontal="center" vertical="center" wrapText="1"/>
    </xf>
    <xf numFmtId="0" fontId="22" fillId="0" borderId="64" xfId="3" applyFont="1" applyBorder="1" applyAlignment="1" applyProtection="1">
      <alignment horizontal="center" vertical="center" wrapText="1"/>
    </xf>
    <xf numFmtId="175" fontId="22" fillId="0" borderId="62" xfId="3" applyNumberFormat="1" applyFont="1" applyBorder="1" applyAlignment="1" applyProtection="1">
      <alignment horizontal="center" vertical="center" wrapText="1"/>
    </xf>
    <xf numFmtId="175" fontId="22" fillId="0" borderId="64" xfId="3" applyNumberFormat="1" applyFont="1" applyBorder="1" applyAlignment="1" applyProtection="1">
      <alignment horizontal="center" vertical="center" wrapText="1"/>
    </xf>
    <xf numFmtId="175" fontId="22" fillId="0" borderId="78" xfId="3" applyNumberFormat="1" applyFont="1" applyBorder="1" applyAlignment="1" applyProtection="1">
      <alignment horizontal="center" vertical="center" wrapText="1"/>
    </xf>
    <xf numFmtId="0" fontId="41" fillId="14" borderId="23" xfId="0" applyFont="1" applyFill="1" applyBorder="1" applyAlignment="1" applyProtection="1">
      <alignment horizontal="center" vertical="center"/>
    </xf>
    <xf numFmtId="0" fontId="41" fillId="14" borderId="24" xfId="0" applyFont="1" applyFill="1" applyBorder="1" applyAlignment="1" applyProtection="1">
      <alignment horizontal="center" vertical="center"/>
    </xf>
    <xf numFmtId="0" fontId="41" fillId="14" borderId="25" xfId="0" applyFont="1" applyFill="1" applyBorder="1" applyAlignment="1" applyProtection="1">
      <alignment horizontal="center" vertical="center"/>
    </xf>
    <xf numFmtId="0" fontId="41" fillId="14" borderId="26" xfId="0" applyFont="1" applyFill="1" applyBorder="1" applyAlignment="1" applyProtection="1">
      <alignment horizontal="center" vertical="center"/>
    </xf>
    <xf numFmtId="0" fontId="41" fillId="14" borderId="27" xfId="0" applyFont="1" applyFill="1" applyBorder="1" applyAlignment="1" applyProtection="1">
      <alignment horizontal="center" vertical="center"/>
    </xf>
    <xf numFmtId="0" fontId="41" fillId="14" borderId="28" xfId="0" applyFont="1" applyFill="1" applyBorder="1" applyAlignment="1" applyProtection="1">
      <alignment horizontal="center" vertical="center"/>
    </xf>
    <xf numFmtId="0" fontId="45" fillId="26" borderId="24" xfId="0" applyFont="1" applyFill="1" applyBorder="1" applyAlignment="1" applyProtection="1">
      <alignment horizontal="center" vertical="center" wrapText="1"/>
    </xf>
    <xf numFmtId="0" fontId="45" fillId="26" borderId="25" xfId="0" applyFont="1" applyFill="1" applyBorder="1" applyAlignment="1" applyProtection="1">
      <alignment horizontal="center" vertical="center" wrapText="1"/>
    </xf>
    <xf numFmtId="0" fontId="45" fillId="26" borderId="67" xfId="0" applyFont="1" applyFill="1" applyBorder="1" applyAlignment="1" applyProtection="1">
      <alignment horizontal="center" vertical="center" wrapText="1"/>
    </xf>
    <xf numFmtId="0" fontId="45" fillId="26" borderId="68" xfId="0" applyFont="1" applyFill="1" applyBorder="1" applyAlignment="1" applyProtection="1">
      <alignment horizontal="center" vertical="center" wrapText="1"/>
    </xf>
    <xf numFmtId="0" fontId="45" fillId="26" borderId="59" xfId="0" applyFont="1" applyFill="1" applyBorder="1" applyAlignment="1" applyProtection="1">
      <alignment horizontal="center" vertical="center" wrapText="1"/>
    </xf>
    <xf numFmtId="0" fontId="45" fillId="26" borderId="74" xfId="0" applyFont="1" applyFill="1" applyBorder="1" applyAlignment="1" applyProtection="1">
      <alignment horizontal="center" vertical="center" wrapText="1"/>
    </xf>
    <xf numFmtId="0" fontId="48" fillId="31" borderId="75" xfId="3" applyFont="1" applyFill="1" applyBorder="1" applyAlignment="1" applyProtection="1">
      <alignment horizontal="center" vertical="center"/>
    </xf>
    <xf numFmtId="0" fontId="48" fillId="31" borderId="76" xfId="3" applyFont="1" applyFill="1" applyBorder="1" applyAlignment="1" applyProtection="1">
      <alignment horizontal="center" vertical="center"/>
    </xf>
    <xf numFmtId="0" fontId="48" fillId="31" borderId="66" xfId="3" applyFont="1" applyFill="1" applyBorder="1" applyAlignment="1" applyProtection="1">
      <alignment horizontal="center" vertical="center"/>
    </xf>
    <xf numFmtId="0" fontId="48" fillId="31" borderId="77" xfId="3" applyFont="1" applyFill="1" applyBorder="1" applyAlignment="1" applyProtection="1">
      <alignment horizontal="center" vertical="center"/>
    </xf>
    <xf numFmtId="0" fontId="48" fillId="31" borderId="41" xfId="3" applyFont="1" applyFill="1" applyBorder="1" applyAlignment="1" applyProtection="1">
      <alignment horizontal="center" vertical="center" wrapText="1"/>
    </xf>
    <xf numFmtId="0" fontId="48" fillId="31" borderId="31" xfId="3" applyFont="1" applyFill="1" applyBorder="1" applyAlignment="1" applyProtection="1">
      <alignment horizontal="center" vertical="center"/>
    </xf>
    <xf numFmtId="0" fontId="48" fillId="31" borderId="31" xfId="3" applyFont="1" applyFill="1" applyBorder="1" applyAlignment="1" applyProtection="1">
      <alignment horizontal="center" vertical="center" wrapText="1"/>
    </xf>
    <xf numFmtId="0" fontId="31" fillId="10" borderId="62" xfId="0" applyFont="1" applyFill="1" applyBorder="1" applyAlignment="1" applyProtection="1">
      <alignment horizontal="center" vertical="center"/>
    </xf>
    <xf numFmtId="0" fontId="31" fillId="10" borderId="79" xfId="0" applyFont="1" applyFill="1" applyBorder="1" applyAlignment="1" applyProtection="1">
      <alignment horizontal="center" vertical="center"/>
    </xf>
    <xf numFmtId="0" fontId="31" fillId="10" borderId="64" xfId="0" applyFont="1" applyFill="1" applyBorder="1" applyAlignment="1" applyProtection="1">
      <alignment horizontal="center" vertical="center"/>
    </xf>
    <xf numFmtId="0" fontId="27" fillId="8" borderId="26" xfId="3" applyFont="1" applyFill="1" applyBorder="1" applyAlignment="1" applyProtection="1">
      <alignment horizontal="center" vertical="center"/>
    </xf>
    <xf numFmtId="0" fontId="27" fillId="8" borderId="27" xfId="3" applyFont="1" applyFill="1" applyBorder="1" applyAlignment="1" applyProtection="1">
      <alignment horizontal="center" vertical="center"/>
    </xf>
    <xf numFmtId="0" fontId="25" fillId="20" borderId="23" xfId="0" applyFont="1" applyFill="1" applyBorder="1" applyAlignment="1" applyProtection="1">
      <alignment horizontal="center" vertical="center" wrapText="1"/>
    </xf>
    <xf numFmtId="0" fontId="25" fillId="20" borderId="24" xfId="0" applyFont="1" applyFill="1" applyBorder="1" applyAlignment="1" applyProtection="1">
      <alignment horizontal="center" vertical="center" wrapText="1"/>
    </xf>
    <xf numFmtId="0" fontId="25" fillId="20" borderId="25" xfId="0" applyFont="1" applyFill="1" applyBorder="1" applyAlignment="1" applyProtection="1">
      <alignment horizontal="center" vertical="center" wrapText="1"/>
    </xf>
    <xf numFmtId="0" fontId="25" fillId="20" borderId="26" xfId="0" applyFont="1" applyFill="1" applyBorder="1" applyAlignment="1" applyProtection="1">
      <alignment horizontal="center" vertical="center" wrapText="1"/>
    </xf>
    <xf numFmtId="0" fontId="25" fillId="20" borderId="27" xfId="0" applyFont="1" applyFill="1" applyBorder="1" applyAlignment="1" applyProtection="1">
      <alignment horizontal="center" vertical="center" wrapText="1"/>
    </xf>
    <xf numFmtId="0" fontId="25" fillId="20" borderId="28" xfId="0" applyFont="1" applyFill="1" applyBorder="1" applyAlignment="1" applyProtection="1">
      <alignment horizontal="center" vertical="center" wrapText="1"/>
    </xf>
    <xf numFmtId="0" fontId="29" fillId="0" borderId="62" xfId="3" applyFont="1" applyBorder="1" applyAlignment="1" applyProtection="1">
      <alignment horizontal="center" vertical="center" wrapText="1"/>
    </xf>
    <xf numFmtId="0" fontId="29" fillId="0" borderId="78" xfId="3" applyFont="1" applyBorder="1" applyAlignment="1" applyProtection="1">
      <alignment horizontal="center" vertical="center" wrapText="1"/>
    </xf>
    <xf numFmtId="0" fontId="13" fillId="0" borderId="51" xfId="0" applyFont="1" applyBorder="1" applyAlignment="1" applyProtection="1">
      <alignment horizontal="center" vertical="center"/>
    </xf>
    <xf numFmtId="0" fontId="13" fillId="0" borderId="63" xfId="0" applyFont="1" applyBorder="1" applyAlignment="1" applyProtection="1">
      <alignment horizontal="center" vertical="center"/>
    </xf>
    <xf numFmtId="0" fontId="13" fillId="16" borderId="63" xfId="0" applyFont="1" applyFill="1" applyBorder="1" applyAlignment="1" applyProtection="1">
      <alignment horizontal="center" vertical="center" wrapText="1"/>
      <protection locked="0"/>
    </xf>
    <xf numFmtId="0" fontId="13" fillId="16" borderId="52" xfId="0" applyFont="1" applyFill="1" applyBorder="1" applyAlignment="1" applyProtection="1">
      <alignment horizontal="center" vertical="center" wrapText="1"/>
      <protection locked="0"/>
    </xf>
    <xf numFmtId="0" fontId="5" fillId="28" borderId="18" xfId="0" applyFont="1" applyFill="1" applyBorder="1" applyAlignment="1" applyProtection="1">
      <alignment horizontal="center" vertical="center"/>
    </xf>
    <xf numFmtId="0" fontId="5" fillId="28" borderId="1" xfId="0" applyFont="1" applyFill="1" applyBorder="1" applyAlignment="1" applyProtection="1">
      <alignment horizontal="center" vertical="center"/>
    </xf>
    <xf numFmtId="0" fontId="31" fillId="10" borderId="20" xfId="0" applyFont="1" applyFill="1" applyBorder="1" applyAlignment="1" applyProtection="1">
      <alignment horizontal="center" vertical="center"/>
    </xf>
    <xf numFmtId="0" fontId="31" fillId="10" borderId="21" xfId="0" applyFont="1" applyFill="1" applyBorder="1" applyAlignment="1" applyProtection="1">
      <alignment horizontal="center" vertical="center"/>
    </xf>
    <xf numFmtId="0" fontId="41" fillId="27" borderId="15" xfId="0" applyFont="1" applyFill="1" applyBorder="1" applyAlignment="1" applyProtection="1">
      <alignment horizontal="center" vertical="center"/>
    </xf>
    <xf numFmtId="0" fontId="41" fillId="27" borderId="35" xfId="0" applyFont="1" applyFill="1" applyBorder="1" applyAlignment="1" applyProtection="1">
      <alignment horizontal="center" vertical="center"/>
    </xf>
    <xf numFmtId="0" fontId="41" fillId="27" borderId="36" xfId="0" applyFont="1" applyFill="1" applyBorder="1" applyAlignment="1" applyProtection="1">
      <alignment horizontal="center" vertical="center"/>
    </xf>
    <xf numFmtId="0" fontId="5" fillId="16" borderId="3" xfId="5" applyNumberFormat="1" applyFont="1" applyFill="1" applyBorder="1" applyAlignment="1" applyProtection="1">
      <alignment horizontal="center" vertical="center"/>
      <protection locked="0"/>
    </xf>
    <xf numFmtId="0" fontId="5" fillId="16" borderId="50" xfId="5" applyNumberFormat="1" applyFont="1" applyFill="1" applyBorder="1" applyAlignment="1" applyProtection="1">
      <alignment horizontal="center" vertical="center"/>
      <protection locked="0"/>
    </xf>
    <xf numFmtId="0" fontId="31" fillId="17" borderId="32" xfId="0" applyFont="1" applyFill="1" applyBorder="1" applyAlignment="1">
      <alignment horizontal="center" vertical="center"/>
    </xf>
    <xf numFmtId="0" fontId="31" fillId="17" borderId="56" xfId="0" applyFont="1" applyFill="1" applyBorder="1" applyAlignment="1">
      <alignment horizontal="center" vertical="center"/>
    </xf>
    <xf numFmtId="14" fontId="5" fillId="16" borderId="16" xfId="0" applyNumberFormat="1" applyFont="1" applyFill="1" applyBorder="1" applyAlignment="1" applyProtection="1">
      <alignment horizontal="center" vertical="center"/>
      <protection locked="0"/>
    </xf>
    <xf numFmtId="14" fontId="5" fillId="16" borderId="36" xfId="0" applyNumberFormat="1" applyFont="1" applyFill="1" applyBorder="1" applyAlignment="1" applyProtection="1">
      <alignment horizontal="center" vertical="center"/>
      <protection locked="0"/>
    </xf>
    <xf numFmtId="14" fontId="31" fillId="17" borderId="57" xfId="0" applyNumberFormat="1" applyFont="1" applyFill="1" applyBorder="1" applyAlignment="1">
      <alignment horizontal="center" vertical="center"/>
    </xf>
    <xf numFmtId="14" fontId="31" fillId="17" borderId="58" xfId="0" applyNumberFormat="1" applyFont="1" applyFill="1" applyBorder="1" applyAlignment="1">
      <alignment horizontal="center" vertical="center"/>
    </xf>
    <xf numFmtId="0" fontId="41" fillId="27" borderId="23" xfId="0" applyFont="1" applyFill="1" applyBorder="1" applyAlignment="1" applyProtection="1">
      <alignment horizontal="center" vertical="center"/>
    </xf>
    <xf numFmtId="0" fontId="41" fillId="27" borderId="24" xfId="0" applyFont="1" applyFill="1" applyBorder="1" applyAlignment="1" applyProtection="1">
      <alignment horizontal="center" vertical="center"/>
    </xf>
    <xf numFmtId="0" fontId="41" fillId="27" borderId="26" xfId="0" applyFont="1" applyFill="1" applyBorder="1" applyAlignment="1" applyProtection="1">
      <alignment horizontal="center" vertical="center"/>
    </xf>
    <xf numFmtId="0" fontId="41" fillId="27" borderId="27" xfId="0" applyFont="1" applyFill="1" applyBorder="1" applyAlignment="1" applyProtection="1">
      <alignment horizontal="center" vertical="center"/>
    </xf>
    <xf numFmtId="176" fontId="43" fillId="27" borderId="24" xfId="0" applyNumberFormat="1" applyFont="1" applyFill="1" applyBorder="1" applyAlignment="1" applyProtection="1">
      <alignment horizontal="center" vertical="center"/>
    </xf>
    <xf numFmtId="176" fontId="43" fillId="27" borderId="25" xfId="0" applyNumberFormat="1" applyFont="1" applyFill="1" applyBorder="1" applyAlignment="1" applyProtection="1">
      <alignment horizontal="center" vertical="center"/>
    </xf>
    <xf numFmtId="176" fontId="43" fillId="27" borderId="27" xfId="0" applyNumberFormat="1" applyFont="1" applyFill="1" applyBorder="1" applyAlignment="1" applyProtection="1">
      <alignment horizontal="center" vertical="center"/>
    </xf>
    <xf numFmtId="176" fontId="43" fillId="27" borderId="28" xfId="0" applyNumberFormat="1" applyFont="1" applyFill="1" applyBorder="1" applyAlignment="1" applyProtection="1">
      <alignment horizontal="center" vertical="center"/>
    </xf>
    <xf numFmtId="0" fontId="39" fillId="26" borderId="3" xfId="0" applyNumberFormat="1" applyFont="1" applyFill="1" applyBorder="1" applyAlignment="1" applyProtection="1">
      <alignment horizontal="center" vertical="center"/>
    </xf>
    <xf numFmtId="0" fontId="39" fillId="26" borderId="6" xfId="0" applyNumberFormat="1" applyFont="1" applyFill="1" applyBorder="1" applyAlignment="1" applyProtection="1">
      <alignment horizontal="center" vertical="center"/>
    </xf>
    <xf numFmtId="0" fontId="31" fillId="10" borderId="49" xfId="0" applyFont="1" applyFill="1" applyBorder="1" applyAlignment="1" applyProtection="1">
      <alignment horizontal="center" vertical="center"/>
    </xf>
    <xf numFmtId="0" fontId="31" fillId="10" borderId="3" xfId="0" applyFont="1" applyFill="1" applyBorder="1" applyAlignment="1" applyProtection="1">
      <alignment horizontal="center" vertical="center"/>
    </xf>
    <xf numFmtId="0" fontId="39" fillId="26" borderId="49" xfId="0" applyFont="1" applyFill="1" applyBorder="1" applyAlignment="1" applyProtection="1">
      <alignment horizontal="right" vertical="center"/>
    </xf>
    <xf numFmtId="0" fontId="39" fillId="26" borderId="2" xfId="0" applyFont="1" applyFill="1" applyBorder="1" applyAlignment="1" applyProtection="1">
      <alignment horizontal="right" vertical="center"/>
    </xf>
    <xf numFmtId="0" fontId="39" fillId="26" borderId="50" xfId="0" applyNumberFormat="1" applyFont="1" applyFill="1" applyBorder="1" applyAlignment="1" applyProtection="1">
      <alignment horizontal="center" vertical="center"/>
    </xf>
    <xf numFmtId="0" fontId="39" fillId="26" borderId="16" xfId="0" applyNumberFormat="1" applyFont="1" applyFill="1" applyBorder="1" applyAlignment="1" applyProtection="1">
      <alignment horizontal="center" vertical="center"/>
    </xf>
    <xf numFmtId="0" fontId="39" fillId="26" borderId="54" xfId="0" applyNumberFormat="1" applyFont="1" applyFill="1" applyBorder="1" applyAlignment="1" applyProtection="1">
      <alignment horizontal="center" vertical="center"/>
    </xf>
    <xf numFmtId="0" fontId="39" fillId="26" borderId="36" xfId="0" applyNumberFormat="1" applyFont="1" applyFill="1" applyBorder="1" applyAlignment="1" applyProtection="1">
      <alignment horizontal="center" vertical="center"/>
    </xf>
    <xf numFmtId="0" fontId="31" fillId="10" borderId="34" xfId="0" applyFont="1" applyFill="1" applyBorder="1" applyAlignment="1" applyProtection="1">
      <alignment horizontal="center" vertical="center"/>
    </xf>
    <xf numFmtId="0" fontId="31" fillId="10" borderId="4" xfId="0" applyFont="1" applyFill="1" applyBorder="1" applyAlignment="1" applyProtection="1">
      <alignment horizontal="center" vertical="center"/>
    </xf>
    <xf numFmtId="176" fontId="31" fillId="10" borderId="7" xfId="0" applyNumberFormat="1" applyFont="1" applyFill="1" applyBorder="1" applyAlignment="1" applyProtection="1">
      <alignment horizontal="center" vertical="center"/>
    </xf>
    <xf numFmtId="176" fontId="31" fillId="10" borderId="9" xfId="0" applyNumberFormat="1" applyFont="1" applyFill="1" applyBorder="1" applyAlignment="1" applyProtection="1">
      <alignment horizontal="center" vertical="center"/>
    </xf>
    <xf numFmtId="176" fontId="31" fillId="10" borderId="55" xfId="0" applyNumberFormat="1" applyFont="1" applyFill="1" applyBorder="1" applyAlignment="1" applyProtection="1">
      <alignment horizontal="center" vertical="center"/>
    </xf>
    <xf numFmtId="0" fontId="39" fillId="26" borderId="15" xfId="0" applyFont="1" applyFill="1" applyBorder="1" applyAlignment="1" applyProtection="1">
      <alignment horizontal="right" vertical="center"/>
    </xf>
    <xf numFmtId="0" fontId="39" fillId="26" borderId="35" xfId="0" applyFont="1" applyFill="1" applyBorder="1" applyAlignment="1" applyProtection="1">
      <alignment horizontal="right" vertical="center"/>
    </xf>
    <xf numFmtId="0" fontId="16" fillId="10" borderId="30" xfId="0" applyFont="1" applyFill="1" applyBorder="1" applyAlignment="1" applyProtection="1">
      <alignment horizontal="center" vertical="center"/>
    </xf>
    <xf numFmtId="0" fontId="16" fillId="10" borderId="38" xfId="0" applyFont="1" applyFill="1" applyBorder="1" applyAlignment="1" applyProtection="1">
      <alignment horizontal="center" vertical="center"/>
    </xf>
    <xf numFmtId="0" fontId="16" fillId="10" borderId="39" xfId="0" applyFont="1" applyFill="1" applyBorder="1" applyAlignment="1" applyProtection="1">
      <alignment horizontal="center" vertical="center"/>
    </xf>
    <xf numFmtId="0" fontId="13" fillId="16" borderId="30" xfId="0" applyFont="1" applyFill="1" applyBorder="1" applyAlignment="1" applyProtection="1">
      <alignment horizontal="center" vertical="center" wrapText="1"/>
      <protection locked="0"/>
    </xf>
    <xf numFmtId="0" fontId="13" fillId="16" borderId="38" xfId="0" applyFont="1" applyFill="1" applyBorder="1" applyAlignment="1" applyProtection="1">
      <alignment horizontal="center" vertical="center" wrapText="1"/>
      <protection locked="0"/>
    </xf>
    <xf numFmtId="0" fontId="42" fillId="7" borderId="0" xfId="0" applyFont="1" applyFill="1" applyBorder="1" applyAlignment="1" applyProtection="1">
      <alignment horizontal="center" vertical="center"/>
    </xf>
    <xf numFmtId="0" fontId="42" fillId="7" borderId="47" xfId="0" applyFont="1" applyFill="1" applyBorder="1" applyAlignment="1" applyProtection="1">
      <alignment horizontal="center" vertical="center"/>
    </xf>
    <xf numFmtId="0" fontId="5" fillId="0" borderId="30" xfId="0" applyFont="1" applyBorder="1" applyAlignment="1" applyProtection="1">
      <alignment horizontal="center" vertical="center"/>
    </xf>
    <xf numFmtId="0" fontId="5" fillId="0" borderId="60" xfId="0" applyFont="1" applyBorder="1" applyAlignment="1" applyProtection="1">
      <alignment horizontal="center" vertical="center"/>
    </xf>
    <xf numFmtId="0" fontId="5" fillId="16" borderId="53" xfId="0" applyFont="1" applyFill="1" applyBorder="1" applyAlignment="1" applyProtection="1">
      <alignment horizontal="center" vertical="center"/>
      <protection locked="0"/>
    </xf>
    <xf numFmtId="0" fontId="5" fillId="16" borderId="39" xfId="0" applyFont="1" applyFill="1" applyBorder="1" applyAlignment="1" applyProtection="1">
      <alignment horizontal="center" vertical="center"/>
      <protection locked="0"/>
    </xf>
  </cellXfs>
  <cellStyles count="12">
    <cellStyle name="Moeda" xfId="1" builtinId="4"/>
    <cellStyle name="Moeda 3" xfId="2" xr:uid="{00000000-0005-0000-0000-000001000000}"/>
    <cellStyle name="Moeda 4" xfId="9" xr:uid="{E798FD6A-44C3-43F3-8170-590C2B7C777E}"/>
    <cellStyle name="Normal" xfId="0" builtinId="0"/>
    <cellStyle name="Normal 2 2 2" xfId="8" xr:uid="{F626C2EF-0E2F-4C46-A63F-92756871612E}"/>
    <cellStyle name="Normal 2 3" xfId="6" xr:uid="{0CEFFED7-F758-46F6-8EF6-A78855953430}"/>
    <cellStyle name="Normal 3" xfId="3" xr:uid="{00000000-0005-0000-0000-000003000000}"/>
    <cellStyle name="Porcentagem" xfId="4" builtinId="5"/>
    <cellStyle name="Porcentagem 3" xfId="7" xr:uid="{17132C14-52DE-4919-ABA9-A84878B9356E}"/>
    <cellStyle name="Vírgula" xfId="5" builtinId="3"/>
    <cellStyle name="Vírgula 2" xfId="10" xr:uid="{36542B39-8F38-43F3-A27E-23936075C119}"/>
    <cellStyle name="Vírgula 3" xfId="11" xr:uid="{1D1E5CC5-3479-4781-A90A-47469A7ECCD3}"/>
  </cellStyles>
  <dxfs count="4">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BFBFB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A6A6A6"/>
      <rgbColor rgb="00003366"/>
      <rgbColor rgb="00339966"/>
      <rgbColor rgb="00003300"/>
      <rgbColor rgb="00333300"/>
      <rgbColor rgb="00993300"/>
      <rgbColor rgb="00993366"/>
      <rgbColor rgb="00333399"/>
      <rgbColor rgb="00333333"/>
    </indexedColors>
    <mruColors>
      <color rgb="FF0000CC"/>
      <color rgb="FF800000"/>
      <color rgb="FF99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2</xdr:col>
      <xdr:colOff>58366</xdr:colOff>
      <xdr:row>80</xdr:row>
      <xdr:rowOff>147765</xdr:rowOff>
    </xdr:to>
    <xdr:pic>
      <xdr:nvPicPr>
        <xdr:cNvPr id="2" name="Imagem 1">
          <a:extLst>
            <a:ext uri="{FF2B5EF4-FFF2-40B4-BE49-F238E27FC236}">
              <a16:creationId xmlns:a16="http://schemas.microsoft.com/office/drawing/2014/main" id="{4F599735-EB2B-4AA7-BDE7-0FAC9D4DF971}"/>
            </a:ext>
          </a:extLst>
        </xdr:cNvPr>
        <xdr:cNvPicPr>
          <a:picLocks noChangeAspect="1"/>
        </xdr:cNvPicPr>
      </xdr:nvPicPr>
      <xdr:blipFill>
        <a:blip xmlns:r="http://schemas.openxmlformats.org/officeDocument/2006/relationships" r:embed="rId1"/>
        <a:stretch>
          <a:fillRect/>
        </a:stretch>
      </xdr:blipFill>
      <xdr:spPr>
        <a:xfrm>
          <a:off x="133350" y="647700"/>
          <a:ext cx="8716591" cy="12288965"/>
        </a:xfrm>
        <a:prstGeom prst="rect">
          <a:avLst/>
        </a:prstGeom>
      </xdr:spPr>
    </xdr:pic>
    <xdr:clientData/>
  </xdr:twoCellAnchor>
  <xdr:twoCellAnchor editAs="oneCell">
    <xdr:from>
      <xdr:col>0</xdr:col>
      <xdr:colOff>228600</xdr:colOff>
      <xdr:row>81</xdr:row>
      <xdr:rowOff>9525</xdr:rowOff>
    </xdr:from>
    <xdr:to>
      <xdr:col>2</xdr:col>
      <xdr:colOff>55193</xdr:colOff>
      <xdr:row>157</xdr:row>
      <xdr:rowOff>1716</xdr:rowOff>
    </xdr:to>
    <xdr:pic>
      <xdr:nvPicPr>
        <xdr:cNvPr id="3" name="Imagem 2">
          <a:extLst>
            <a:ext uri="{FF2B5EF4-FFF2-40B4-BE49-F238E27FC236}">
              <a16:creationId xmlns:a16="http://schemas.microsoft.com/office/drawing/2014/main" id="{87A8B3A2-B265-4645-8563-7914B8F840B9}"/>
            </a:ext>
          </a:extLst>
        </xdr:cNvPr>
        <xdr:cNvPicPr>
          <a:picLocks noChangeAspect="1"/>
        </xdr:cNvPicPr>
      </xdr:nvPicPr>
      <xdr:blipFill>
        <a:blip xmlns:r="http://schemas.openxmlformats.org/officeDocument/2006/relationships" r:embed="rId2"/>
        <a:stretch>
          <a:fillRect/>
        </a:stretch>
      </xdr:blipFill>
      <xdr:spPr>
        <a:xfrm>
          <a:off x="228600" y="13392150"/>
          <a:ext cx="8726118" cy="12298491"/>
        </a:xfrm>
        <a:prstGeom prst="rect">
          <a:avLst/>
        </a:prstGeom>
      </xdr:spPr>
    </xdr:pic>
    <xdr:clientData/>
  </xdr:twoCellAnchor>
  <xdr:twoCellAnchor editAs="oneCell">
    <xdr:from>
      <xdr:col>0</xdr:col>
      <xdr:colOff>219075</xdr:colOff>
      <xdr:row>157</xdr:row>
      <xdr:rowOff>38100</xdr:rowOff>
    </xdr:from>
    <xdr:to>
      <xdr:col>2</xdr:col>
      <xdr:colOff>55194</xdr:colOff>
      <xdr:row>233</xdr:row>
      <xdr:rowOff>52519</xdr:rowOff>
    </xdr:to>
    <xdr:pic>
      <xdr:nvPicPr>
        <xdr:cNvPr id="4" name="Imagem 3">
          <a:extLst>
            <a:ext uri="{FF2B5EF4-FFF2-40B4-BE49-F238E27FC236}">
              <a16:creationId xmlns:a16="http://schemas.microsoft.com/office/drawing/2014/main" id="{EB225516-0DF8-4434-82B0-5C9109A2EFA1}"/>
            </a:ext>
          </a:extLst>
        </xdr:cNvPr>
        <xdr:cNvPicPr>
          <a:picLocks noChangeAspect="1"/>
        </xdr:cNvPicPr>
      </xdr:nvPicPr>
      <xdr:blipFill>
        <a:blip xmlns:r="http://schemas.openxmlformats.org/officeDocument/2006/relationships" r:embed="rId3"/>
        <a:stretch>
          <a:fillRect/>
        </a:stretch>
      </xdr:blipFill>
      <xdr:spPr>
        <a:xfrm>
          <a:off x="219075" y="25727025"/>
          <a:ext cx="8735644" cy="12317544"/>
        </a:xfrm>
        <a:prstGeom prst="rect">
          <a:avLst/>
        </a:prstGeom>
      </xdr:spPr>
    </xdr:pic>
    <xdr:clientData/>
  </xdr:twoCellAnchor>
  <xdr:twoCellAnchor editAs="oneCell">
    <xdr:from>
      <xdr:col>1</xdr:col>
      <xdr:colOff>0</xdr:colOff>
      <xdr:row>233</xdr:row>
      <xdr:rowOff>66675</xdr:rowOff>
    </xdr:from>
    <xdr:to>
      <xdr:col>2</xdr:col>
      <xdr:colOff>58366</xdr:colOff>
      <xdr:row>309</xdr:row>
      <xdr:rowOff>77919</xdr:rowOff>
    </xdr:to>
    <xdr:pic>
      <xdr:nvPicPr>
        <xdr:cNvPr id="5" name="Imagem 4">
          <a:extLst>
            <a:ext uri="{FF2B5EF4-FFF2-40B4-BE49-F238E27FC236}">
              <a16:creationId xmlns:a16="http://schemas.microsoft.com/office/drawing/2014/main" id="{28BC72CE-08DB-4C85-8ADE-8EA959D9FCCB}"/>
            </a:ext>
          </a:extLst>
        </xdr:cNvPr>
        <xdr:cNvPicPr>
          <a:picLocks noChangeAspect="1"/>
        </xdr:cNvPicPr>
      </xdr:nvPicPr>
      <xdr:blipFill>
        <a:blip xmlns:r="http://schemas.openxmlformats.org/officeDocument/2006/relationships" r:embed="rId4"/>
        <a:stretch>
          <a:fillRect/>
        </a:stretch>
      </xdr:blipFill>
      <xdr:spPr>
        <a:xfrm>
          <a:off x="133350" y="37633275"/>
          <a:ext cx="8716591" cy="12317544"/>
        </a:xfrm>
        <a:prstGeom prst="rect">
          <a:avLst/>
        </a:prstGeom>
      </xdr:spPr>
    </xdr:pic>
    <xdr:clientData/>
  </xdr:twoCellAnchor>
  <xdr:twoCellAnchor editAs="oneCell">
    <xdr:from>
      <xdr:col>1</xdr:col>
      <xdr:colOff>9525</xdr:colOff>
      <xdr:row>309</xdr:row>
      <xdr:rowOff>152400</xdr:rowOff>
    </xdr:from>
    <xdr:to>
      <xdr:col>2</xdr:col>
      <xdr:colOff>58365</xdr:colOff>
      <xdr:row>385</xdr:row>
      <xdr:rowOff>96960</xdr:rowOff>
    </xdr:to>
    <xdr:pic>
      <xdr:nvPicPr>
        <xdr:cNvPr id="6" name="Imagem 5">
          <a:extLst>
            <a:ext uri="{FF2B5EF4-FFF2-40B4-BE49-F238E27FC236}">
              <a16:creationId xmlns:a16="http://schemas.microsoft.com/office/drawing/2014/main" id="{D6EAF407-0D08-48D9-81BE-903207D84217}"/>
            </a:ext>
          </a:extLst>
        </xdr:cNvPr>
        <xdr:cNvPicPr>
          <a:picLocks noChangeAspect="1"/>
        </xdr:cNvPicPr>
      </xdr:nvPicPr>
      <xdr:blipFill>
        <a:blip xmlns:r="http://schemas.openxmlformats.org/officeDocument/2006/relationships" r:embed="rId5"/>
        <a:stretch>
          <a:fillRect/>
        </a:stretch>
      </xdr:blipFill>
      <xdr:spPr>
        <a:xfrm>
          <a:off x="142875" y="50025300"/>
          <a:ext cx="8707065" cy="12250860"/>
        </a:xfrm>
        <a:prstGeom prst="rect">
          <a:avLst/>
        </a:prstGeom>
      </xdr:spPr>
    </xdr:pic>
    <xdr:clientData/>
  </xdr:twoCellAnchor>
  <xdr:twoCellAnchor editAs="oneCell">
    <xdr:from>
      <xdr:col>1</xdr:col>
      <xdr:colOff>0</xdr:colOff>
      <xdr:row>386</xdr:row>
      <xdr:rowOff>28575</xdr:rowOff>
    </xdr:from>
    <xdr:to>
      <xdr:col>2</xdr:col>
      <xdr:colOff>58366</xdr:colOff>
      <xdr:row>461</xdr:row>
      <xdr:rowOff>135060</xdr:rowOff>
    </xdr:to>
    <xdr:pic>
      <xdr:nvPicPr>
        <xdr:cNvPr id="7" name="Imagem 6">
          <a:extLst>
            <a:ext uri="{FF2B5EF4-FFF2-40B4-BE49-F238E27FC236}">
              <a16:creationId xmlns:a16="http://schemas.microsoft.com/office/drawing/2014/main" id="{E8BC98A3-4113-4552-86A6-0BE97E314481}"/>
            </a:ext>
          </a:extLst>
        </xdr:cNvPr>
        <xdr:cNvPicPr>
          <a:picLocks noChangeAspect="1"/>
        </xdr:cNvPicPr>
      </xdr:nvPicPr>
      <xdr:blipFill>
        <a:blip xmlns:r="http://schemas.openxmlformats.org/officeDocument/2006/relationships" r:embed="rId6"/>
        <a:stretch>
          <a:fillRect/>
        </a:stretch>
      </xdr:blipFill>
      <xdr:spPr>
        <a:xfrm>
          <a:off x="133350" y="62369700"/>
          <a:ext cx="8716591" cy="12250860"/>
        </a:xfrm>
        <a:prstGeom prst="rect">
          <a:avLst/>
        </a:prstGeom>
      </xdr:spPr>
    </xdr:pic>
    <xdr:clientData/>
  </xdr:twoCellAnchor>
  <xdr:twoCellAnchor editAs="oneCell">
    <xdr:from>
      <xdr:col>0</xdr:col>
      <xdr:colOff>219075</xdr:colOff>
      <xdr:row>462</xdr:row>
      <xdr:rowOff>57150</xdr:rowOff>
    </xdr:from>
    <xdr:to>
      <xdr:col>2</xdr:col>
      <xdr:colOff>58370</xdr:colOff>
      <xdr:row>538</xdr:row>
      <xdr:rowOff>71569</xdr:rowOff>
    </xdr:to>
    <xdr:pic>
      <xdr:nvPicPr>
        <xdr:cNvPr id="8" name="Imagem 7">
          <a:extLst>
            <a:ext uri="{FF2B5EF4-FFF2-40B4-BE49-F238E27FC236}">
              <a16:creationId xmlns:a16="http://schemas.microsoft.com/office/drawing/2014/main" id="{B2858179-790A-4E51-9E44-9C83A1AB18CA}"/>
            </a:ext>
          </a:extLst>
        </xdr:cNvPr>
        <xdr:cNvPicPr>
          <a:picLocks noChangeAspect="1"/>
        </xdr:cNvPicPr>
      </xdr:nvPicPr>
      <xdr:blipFill>
        <a:blip xmlns:r="http://schemas.openxmlformats.org/officeDocument/2006/relationships" r:embed="rId7"/>
        <a:stretch>
          <a:fillRect/>
        </a:stretch>
      </xdr:blipFill>
      <xdr:spPr>
        <a:xfrm>
          <a:off x="219075" y="75133200"/>
          <a:ext cx="8745170" cy="12317544"/>
        </a:xfrm>
        <a:prstGeom prst="rect">
          <a:avLst/>
        </a:prstGeom>
      </xdr:spPr>
    </xdr:pic>
    <xdr:clientData/>
  </xdr:twoCellAnchor>
  <xdr:twoCellAnchor editAs="oneCell">
    <xdr:from>
      <xdr:col>1</xdr:col>
      <xdr:colOff>0</xdr:colOff>
      <xdr:row>539</xdr:row>
      <xdr:rowOff>0</xdr:rowOff>
    </xdr:from>
    <xdr:to>
      <xdr:col>2</xdr:col>
      <xdr:colOff>93295</xdr:colOff>
      <xdr:row>615</xdr:row>
      <xdr:rowOff>14419</xdr:rowOff>
    </xdr:to>
    <xdr:pic>
      <xdr:nvPicPr>
        <xdr:cNvPr id="9" name="Imagem 8">
          <a:extLst>
            <a:ext uri="{FF2B5EF4-FFF2-40B4-BE49-F238E27FC236}">
              <a16:creationId xmlns:a16="http://schemas.microsoft.com/office/drawing/2014/main" id="{8205F5BC-DE1F-4EB0-9440-0890D5B6348D}"/>
            </a:ext>
          </a:extLst>
        </xdr:cNvPr>
        <xdr:cNvPicPr>
          <a:picLocks noChangeAspect="1"/>
        </xdr:cNvPicPr>
      </xdr:nvPicPr>
      <xdr:blipFill>
        <a:blip xmlns:r="http://schemas.openxmlformats.org/officeDocument/2006/relationships" r:embed="rId8"/>
        <a:stretch>
          <a:fillRect/>
        </a:stretch>
      </xdr:blipFill>
      <xdr:spPr>
        <a:xfrm>
          <a:off x="247650" y="87544275"/>
          <a:ext cx="8745170" cy="12317544"/>
        </a:xfrm>
        <a:prstGeom prst="rect">
          <a:avLst/>
        </a:prstGeom>
      </xdr:spPr>
    </xdr:pic>
    <xdr:clientData/>
  </xdr:twoCellAnchor>
  <xdr:twoCellAnchor editAs="oneCell">
    <xdr:from>
      <xdr:col>1</xdr:col>
      <xdr:colOff>0</xdr:colOff>
      <xdr:row>615</xdr:row>
      <xdr:rowOff>66675</xdr:rowOff>
    </xdr:from>
    <xdr:to>
      <xdr:col>2</xdr:col>
      <xdr:colOff>77419</xdr:colOff>
      <xdr:row>691</xdr:row>
      <xdr:rowOff>77919</xdr:rowOff>
    </xdr:to>
    <xdr:pic>
      <xdr:nvPicPr>
        <xdr:cNvPr id="10" name="Imagem 9">
          <a:extLst>
            <a:ext uri="{FF2B5EF4-FFF2-40B4-BE49-F238E27FC236}">
              <a16:creationId xmlns:a16="http://schemas.microsoft.com/office/drawing/2014/main" id="{F6A7C341-3CF6-49A9-B9F4-CEC9CEA80613}"/>
            </a:ext>
          </a:extLst>
        </xdr:cNvPr>
        <xdr:cNvPicPr>
          <a:picLocks noChangeAspect="1"/>
        </xdr:cNvPicPr>
      </xdr:nvPicPr>
      <xdr:blipFill>
        <a:blip xmlns:r="http://schemas.openxmlformats.org/officeDocument/2006/relationships" r:embed="rId9"/>
        <a:stretch>
          <a:fillRect/>
        </a:stretch>
      </xdr:blipFill>
      <xdr:spPr>
        <a:xfrm>
          <a:off x="247650" y="99917250"/>
          <a:ext cx="8735644" cy="12317544"/>
        </a:xfrm>
        <a:prstGeom prst="rect">
          <a:avLst/>
        </a:prstGeom>
      </xdr:spPr>
    </xdr:pic>
    <xdr:clientData/>
  </xdr:twoCellAnchor>
  <xdr:twoCellAnchor editAs="oneCell">
    <xdr:from>
      <xdr:col>1</xdr:col>
      <xdr:colOff>0</xdr:colOff>
      <xdr:row>691</xdr:row>
      <xdr:rowOff>114300</xdr:rowOff>
    </xdr:from>
    <xdr:to>
      <xdr:col>2</xdr:col>
      <xdr:colOff>77419</xdr:colOff>
      <xdr:row>767</xdr:row>
      <xdr:rowOff>147772</xdr:rowOff>
    </xdr:to>
    <xdr:pic>
      <xdr:nvPicPr>
        <xdr:cNvPr id="11" name="Imagem 10">
          <a:extLst>
            <a:ext uri="{FF2B5EF4-FFF2-40B4-BE49-F238E27FC236}">
              <a16:creationId xmlns:a16="http://schemas.microsoft.com/office/drawing/2014/main" id="{AD312861-D299-47BB-BD03-18EDBCA50C30}"/>
            </a:ext>
          </a:extLst>
        </xdr:cNvPr>
        <xdr:cNvPicPr>
          <a:picLocks noChangeAspect="1"/>
        </xdr:cNvPicPr>
      </xdr:nvPicPr>
      <xdr:blipFill>
        <a:blip xmlns:r="http://schemas.openxmlformats.org/officeDocument/2006/relationships" r:embed="rId10"/>
        <a:stretch>
          <a:fillRect/>
        </a:stretch>
      </xdr:blipFill>
      <xdr:spPr>
        <a:xfrm>
          <a:off x="247650" y="112271175"/>
          <a:ext cx="8735644" cy="12336597"/>
        </a:xfrm>
        <a:prstGeom prst="rect">
          <a:avLst/>
        </a:prstGeom>
      </xdr:spPr>
    </xdr:pic>
    <xdr:clientData/>
  </xdr:twoCellAnchor>
  <xdr:twoCellAnchor editAs="oneCell">
    <xdr:from>
      <xdr:col>1</xdr:col>
      <xdr:colOff>0</xdr:colOff>
      <xdr:row>768</xdr:row>
      <xdr:rowOff>0</xdr:rowOff>
    </xdr:from>
    <xdr:to>
      <xdr:col>2</xdr:col>
      <xdr:colOff>74243</xdr:colOff>
      <xdr:row>843</xdr:row>
      <xdr:rowOff>77906</xdr:rowOff>
    </xdr:to>
    <xdr:pic>
      <xdr:nvPicPr>
        <xdr:cNvPr id="12" name="Imagem 11">
          <a:extLst>
            <a:ext uri="{FF2B5EF4-FFF2-40B4-BE49-F238E27FC236}">
              <a16:creationId xmlns:a16="http://schemas.microsoft.com/office/drawing/2014/main" id="{6E62F008-F040-4BF0-8D37-45B27981C0C1}"/>
            </a:ext>
          </a:extLst>
        </xdr:cNvPr>
        <xdr:cNvPicPr>
          <a:picLocks noChangeAspect="1"/>
        </xdr:cNvPicPr>
      </xdr:nvPicPr>
      <xdr:blipFill>
        <a:blip xmlns:r="http://schemas.openxmlformats.org/officeDocument/2006/relationships" r:embed="rId11"/>
        <a:stretch>
          <a:fillRect/>
        </a:stretch>
      </xdr:blipFill>
      <xdr:spPr>
        <a:xfrm>
          <a:off x="247650" y="124625100"/>
          <a:ext cx="8726118" cy="12222281"/>
        </a:xfrm>
        <a:prstGeom prst="rect">
          <a:avLst/>
        </a:prstGeom>
      </xdr:spPr>
    </xdr:pic>
    <xdr:clientData/>
  </xdr:twoCellAnchor>
  <xdr:twoCellAnchor editAs="oneCell">
    <xdr:from>
      <xdr:col>1</xdr:col>
      <xdr:colOff>0</xdr:colOff>
      <xdr:row>844</xdr:row>
      <xdr:rowOff>0</xdr:rowOff>
    </xdr:from>
    <xdr:to>
      <xdr:col>2</xdr:col>
      <xdr:colOff>74243</xdr:colOff>
      <xdr:row>920</xdr:row>
      <xdr:rowOff>14419</xdr:rowOff>
    </xdr:to>
    <xdr:pic>
      <xdr:nvPicPr>
        <xdr:cNvPr id="13" name="Imagem 12">
          <a:extLst>
            <a:ext uri="{FF2B5EF4-FFF2-40B4-BE49-F238E27FC236}">
              <a16:creationId xmlns:a16="http://schemas.microsoft.com/office/drawing/2014/main" id="{32E81A09-78A5-40C9-96B8-1387B8B91701}"/>
            </a:ext>
          </a:extLst>
        </xdr:cNvPr>
        <xdr:cNvPicPr>
          <a:picLocks noChangeAspect="1"/>
        </xdr:cNvPicPr>
      </xdr:nvPicPr>
      <xdr:blipFill>
        <a:blip xmlns:r="http://schemas.openxmlformats.org/officeDocument/2006/relationships" r:embed="rId12"/>
        <a:stretch>
          <a:fillRect/>
        </a:stretch>
      </xdr:blipFill>
      <xdr:spPr>
        <a:xfrm>
          <a:off x="247650" y="136931400"/>
          <a:ext cx="8726118" cy="12317544"/>
        </a:xfrm>
        <a:prstGeom prst="rect">
          <a:avLst/>
        </a:prstGeom>
      </xdr:spPr>
    </xdr:pic>
    <xdr:clientData/>
  </xdr:twoCellAnchor>
  <xdr:twoCellAnchor editAs="oneCell">
    <xdr:from>
      <xdr:col>1</xdr:col>
      <xdr:colOff>0</xdr:colOff>
      <xdr:row>920</xdr:row>
      <xdr:rowOff>66675</xdr:rowOff>
    </xdr:from>
    <xdr:to>
      <xdr:col>2</xdr:col>
      <xdr:colOff>77419</xdr:colOff>
      <xdr:row>996</xdr:row>
      <xdr:rowOff>52515</xdr:rowOff>
    </xdr:to>
    <xdr:pic>
      <xdr:nvPicPr>
        <xdr:cNvPr id="14" name="Imagem 13">
          <a:extLst>
            <a:ext uri="{FF2B5EF4-FFF2-40B4-BE49-F238E27FC236}">
              <a16:creationId xmlns:a16="http://schemas.microsoft.com/office/drawing/2014/main" id="{7E14D94E-FAFE-4C08-95F6-3E2C12717340}"/>
            </a:ext>
          </a:extLst>
        </xdr:cNvPr>
        <xdr:cNvPicPr>
          <a:picLocks noChangeAspect="1"/>
        </xdr:cNvPicPr>
      </xdr:nvPicPr>
      <xdr:blipFill>
        <a:blip xmlns:r="http://schemas.openxmlformats.org/officeDocument/2006/relationships" r:embed="rId13"/>
        <a:stretch>
          <a:fillRect/>
        </a:stretch>
      </xdr:blipFill>
      <xdr:spPr>
        <a:xfrm>
          <a:off x="247650" y="149304375"/>
          <a:ext cx="8735644" cy="12288965"/>
        </a:xfrm>
        <a:prstGeom prst="rect">
          <a:avLst/>
        </a:prstGeom>
      </xdr:spPr>
    </xdr:pic>
    <xdr:clientData/>
  </xdr:twoCellAnchor>
  <xdr:twoCellAnchor editAs="oneCell">
    <xdr:from>
      <xdr:col>0</xdr:col>
      <xdr:colOff>238125</xdr:colOff>
      <xdr:row>996</xdr:row>
      <xdr:rowOff>104775</xdr:rowOff>
    </xdr:from>
    <xdr:to>
      <xdr:col>2</xdr:col>
      <xdr:colOff>58368</xdr:colOff>
      <xdr:row>1072</xdr:row>
      <xdr:rowOff>96966</xdr:rowOff>
    </xdr:to>
    <xdr:pic>
      <xdr:nvPicPr>
        <xdr:cNvPr id="15" name="Imagem 14">
          <a:extLst>
            <a:ext uri="{FF2B5EF4-FFF2-40B4-BE49-F238E27FC236}">
              <a16:creationId xmlns:a16="http://schemas.microsoft.com/office/drawing/2014/main" id="{2C477924-DC76-42D0-BA9E-9360B03D2709}"/>
            </a:ext>
          </a:extLst>
        </xdr:cNvPr>
        <xdr:cNvPicPr>
          <a:picLocks noChangeAspect="1"/>
        </xdr:cNvPicPr>
      </xdr:nvPicPr>
      <xdr:blipFill>
        <a:blip xmlns:r="http://schemas.openxmlformats.org/officeDocument/2006/relationships" r:embed="rId14"/>
        <a:stretch>
          <a:fillRect/>
        </a:stretch>
      </xdr:blipFill>
      <xdr:spPr>
        <a:xfrm>
          <a:off x="238125" y="161648775"/>
          <a:ext cx="8726118" cy="12298491"/>
        </a:xfrm>
        <a:prstGeom prst="rect">
          <a:avLst/>
        </a:prstGeom>
      </xdr:spPr>
    </xdr:pic>
    <xdr:clientData/>
  </xdr:twoCellAnchor>
  <xdr:twoCellAnchor editAs="oneCell">
    <xdr:from>
      <xdr:col>1</xdr:col>
      <xdr:colOff>0</xdr:colOff>
      <xdr:row>1073</xdr:row>
      <xdr:rowOff>0</xdr:rowOff>
    </xdr:from>
    <xdr:to>
      <xdr:col>2</xdr:col>
      <xdr:colOff>93295</xdr:colOff>
      <xdr:row>1148</xdr:row>
      <xdr:rowOff>135064</xdr:rowOff>
    </xdr:to>
    <xdr:pic>
      <xdr:nvPicPr>
        <xdr:cNvPr id="16" name="Imagem 15">
          <a:extLst>
            <a:ext uri="{FF2B5EF4-FFF2-40B4-BE49-F238E27FC236}">
              <a16:creationId xmlns:a16="http://schemas.microsoft.com/office/drawing/2014/main" id="{82D9DC55-9FA3-4D7F-AD2D-1BDDC6D0F71A}"/>
            </a:ext>
          </a:extLst>
        </xdr:cNvPr>
        <xdr:cNvPicPr>
          <a:picLocks noChangeAspect="1"/>
        </xdr:cNvPicPr>
      </xdr:nvPicPr>
      <xdr:blipFill>
        <a:blip xmlns:r="http://schemas.openxmlformats.org/officeDocument/2006/relationships" r:embed="rId15"/>
        <a:stretch>
          <a:fillRect/>
        </a:stretch>
      </xdr:blipFill>
      <xdr:spPr>
        <a:xfrm>
          <a:off x="247650" y="174012225"/>
          <a:ext cx="8745170" cy="12279439"/>
        </a:xfrm>
        <a:prstGeom prst="rect">
          <a:avLst/>
        </a:prstGeom>
      </xdr:spPr>
    </xdr:pic>
    <xdr:clientData/>
  </xdr:twoCellAnchor>
  <xdr:twoCellAnchor editAs="oneCell">
    <xdr:from>
      <xdr:col>1</xdr:col>
      <xdr:colOff>0</xdr:colOff>
      <xdr:row>1150</xdr:row>
      <xdr:rowOff>0</xdr:rowOff>
    </xdr:from>
    <xdr:to>
      <xdr:col>2</xdr:col>
      <xdr:colOff>77419</xdr:colOff>
      <xdr:row>1226</xdr:row>
      <xdr:rowOff>14419</xdr:rowOff>
    </xdr:to>
    <xdr:pic>
      <xdr:nvPicPr>
        <xdr:cNvPr id="17" name="Imagem 16">
          <a:extLst>
            <a:ext uri="{FF2B5EF4-FFF2-40B4-BE49-F238E27FC236}">
              <a16:creationId xmlns:a16="http://schemas.microsoft.com/office/drawing/2014/main" id="{17B6944F-3C64-4457-A937-9C91B7B36869}"/>
            </a:ext>
          </a:extLst>
        </xdr:cNvPr>
        <xdr:cNvPicPr>
          <a:picLocks noChangeAspect="1"/>
        </xdr:cNvPicPr>
      </xdr:nvPicPr>
      <xdr:blipFill>
        <a:blip xmlns:r="http://schemas.openxmlformats.org/officeDocument/2006/relationships" r:embed="rId16"/>
        <a:stretch>
          <a:fillRect/>
        </a:stretch>
      </xdr:blipFill>
      <xdr:spPr>
        <a:xfrm>
          <a:off x="247650" y="186480450"/>
          <a:ext cx="8735644" cy="12317544"/>
        </a:xfrm>
        <a:prstGeom prst="rect">
          <a:avLst/>
        </a:prstGeom>
      </xdr:spPr>
    </xdr:pic>
    <xdr:clientData/>
  </xdr:twoCellAnchor>
  <xdr:twoCellAnchor editAs="oneCell">
    <xdr:from>
      <xdr:col>0</xdr:col>
      <xdr:colOff>238125</xdr:colOff>
      <xdr:row>1226</xdr:row>
      <xdr:rowOff>9525</xdr:rowOff>
    </xdr:from>
    <xdr:to>
      <xdr:col>2</xdr:col>
      <xdr:colOff>77420</xdr:colOff>
      <xdr:row>1302</xdr:row>
      <xdr:rowOff>20769</xdr:rowOff>
    </xdr:to>
    <xdr:pic>
      <xdr:nvPicPr>
        <xdr:cNvPr id="18" name="Imagem 17">
          <a:extLst>
            <a:ext uri="{FF2B5EF4-FFF2-40B4-BE49-F238E27FC236}">
              <a16:creationId xmlns:a16="http://schemas.microsoft.com/office/drawing/2014/main" id="{99506059-D3DC-45FD-9C8A-DC6C022C8F47}"/>
            </a:ext>
          </a:extLst>
        </xdr:cNvPr>
        <xdr:cNvPicPr>
          <a:picLocks noChangeAspect="1"/>
        </xdr:cNvPicPr>
      </xdr:nvPicPr>
      <xdr:blipFill>
        <a:blip xmlns:r="http://schemas.openxmlformats.org/officeDocument/2006/relationships" r:embed="rId17"/>
        <a:stretch>
          <a:fillRect/>
        </a:stretch>
      </xdr:blipFill>
      <xdr:spPr>
        <a:xfrm>
          <a:off x="238125" y="198796275"/>
          <a:ext cx="8745170" cy="12317544"/>
        </a:xfrm>
        <a:prstGeom prst="rect">
          <a:avLst/>
        </a:prstGeom>
      </xdr:spPr>
    </xdr:pic>
    <xdr:clientData/>
  </xdr:twoCellAnchor>
  <xdr:twoCellAnchor editAs="oneCell">
    <xdr:from>
      <xdr:col>1</xdr:col>
      <xdr:colOff>0</xdr:colOff>
      <xdr:row>1302</xdr:row>
      <xdr:rowOff>0</xdr:rowOff>
    </xdr:from>
    <xdr:to>
      <xdr:col>2</xdr:col>
      <xdr:colOff>96472</xdr:colOff>
      <xdr:row>1377</xdr:row>
      <xdr:rowOff>147765</xdr:rowOff>
    </xdr:to>
    <xdr:pic>
      <xdr:nvPicPr>
        <xdr:cNvPr id="19" name="Imagem 18">
          <a:extLst>
            <a:ext uri="{FF2B5EF4-FFF2-40B4-BE49-F238E27FC236}">
              <a16:creationId xmlns:a16="http://schemas.microsoft.com/office/drawing/2014/main" id="{FC0C9B6C-F7B1-40BC-B285-D6E25391553E}"/>
            </a:ext>
          </a:extLst>
        </xdr:cNvPr>
        <xdr:cNvPicPr>
          <a:picLocks noChangeAspect="1"/>
        </xdr:cNvPicPr>
      </xdr:nvPicPr>
      <xdr:blipFill>
        <a:blip xmlns:r="http://schemas.openxmlformats.org/officeDocument/2006/relationships" r:embed="rId18"/>
        <a:stretch>
          <a:fillRect/>
        </a:stretch>
      </xdr:blipFill>
      <xdr:spPr>
        <a:xfrm>
          <a:off x="247650" y="211093050"/>
          <a:ext cx="8754697" cy="12288965"/>
        </a:xfrm>
        <a:prstGeom prst="rect">
          <a:avLst/>
        </a:prstGeom>
      </xdr:spPr>
    </xdr:pic>
    <xdr:clientData/>
  </xdr:twoCellAnchor>
  <xdr:twoCellAnchor editAs="oneCell">
    <xdr:from>
      <xdr:col>1</xdr:col>
      <xdr:colOff>0</xdr:colOff>
      <xdr:row>1378</xdr:row>
      <xdr:rowOff>9525</xdr:rowOff>
    </xdr:from>
    <xdr:to>
      <xdr:col>2</xdr:col>
      <xdr:colOff>74243</xdr:colOff>
      <xdr:row>1453</xdr:row>
      <xdr:rowOff>128711</xdr:rowOff>
    </xdr:to>
    <xdr:pic>
      <xdr:nvPicPr>
        <xdr:cNvPr id="20" name="Imagem 19">
          <a:extLst>
            <a:ext uri="{FF2B5EF4-FFF2-40B4-BE49-F238E27FC236}">
              <a16:creationId xmlns:a16="http://schemas.microsoft.com/office/drawing/2014/main" id="{1E1E2883-1CAB-472E-BFDF-707CE51A49F1}"/>
            </a:ext>
          </a:extLst>
        </xdr:cNvPr>
        <xdr:cNvPicPr>
          <a:picLocks noChangeAspect="1"/>
        </xdr:cNvPicPr>
      </xdr:nvPicPr>
      <xdr:blipFill>
        <a:blip xmlns:r="http://schemas.openxmlformats.org/officeDocument/2006/relationships" r:embed="rId19"/>
        <a:stretch>
          <a:fillRect/>
        </a:stretch>
      </xdr:blipFill>
      <xdr:spPr>
        <a:xfrm>
          <a:off x="247650" y="223408875"/>
          <a:ext cx="8726118" cy="12260386"/>
        </a:xfrm>
        <a:prstGeom prst="rect">
          <a:avLst/>
        </a:prstGeom>
      </xdr:spPr>
    </xdr:pic>
    <xdr:clientData/>
  </xdr:twoCellAnchor>
  <xdr:twoCellAnchor editAs="oneCell">
    <xdr:from>
      <xdr:col>1</xdr:col>
      <xdr:colOff>0</xdr:colOff>
      <xdr:row>1454</xdr:row>
      <xdr:rowOff>0</xdr:rowOff>
    </xdr:from>
    <xdr:to>
      <xdr:col>2</xdr:col>
      <xdr:colOff>74525</xdr:colOff>
      <xdr:row>1530</xdr:row>
      <xdr:rowOff>55373</xdr:rowOff>
    </xdr:to>
    <xdr:pic>
      <xdr:nvPicPr>
        <xdr:cNvPr id="21" name="Imagem 20">
          <a:extLst>
            <a:ext uri="{FF2B5EF4-FFF2-40B4-BE49-F238E27FC236}">
              <a16:creationId xmlns:a16="http://schemas.microsoft.com/office/drawing/2014/main" id="{E49821C3-B23C-4F58-9C83-8398D03075B4}"/>
            </a:ext>
          </a:extLst>
        </xdr:cNvPr>
        <xdr:cNvPicPr>
          <a:picLocks noChangeAspect="1"/>
        </xdr:cNvPicPr>
      </xdr:nvPicPr>
      <xdr:blipFill>
        <a:blip xmlns:r="http://schemas.openxmlformats.org/officeDocument/2006/relationships" r:embed="rId20"/>
        <a:stretch>
          <a:fillRect/>
        </a:stretch>
      </xdr:blipFill>
      <xdr:spPr>
        <a:xfrm>
          <a:off x="247650" y="235791375"/>
          <a:ext cx="8726400" cy="12361673"/>
        </a:xfrm>
        <a:prstGeom prst="rect">
          <a:avLst/>
        </a:prstGeom>
      </xdr:spPr>
    </xdr:pic>
    <xdr:clientData/>
  </xdr:twoCellAnchor>
  <xdr:twoCellAnchor editAs="oneCell">
    <xdr:from>
      <xdr:col>1</xdr:col>
      <xdr:colOff>0</xdr:colOff>
      <xdr:row>1530</xdr:row>
      <xdr:rowOff>76200</xdr:rowOff>
    </xdr:from>
    <xdr:to>
      <xdr:col>2</xdr:col>
      <xdr:colOff>74525</xdr:colOff>
      <xdr:row>1608</xdr:row>
      <xdr:rowOff>134128</xdr:rowOff>
    </xdr:to>
    <xdr:pic>
      <xdr:nvPicPr>
        <xdr:cNvPr id="22" name="Imagem 21">
          <a:extLst>
            <a:ext uri="{FF2B5EF4-FFF2-40B4-BE49-F238E27FC236}">
              <a16:creationId xmlns:a16="http://schemas.microsoft.com/office/drawing/2014/main" id="{8D875CFE-3F17-4532-83CA-EF69A24242DB}"/>
            </a:ext>
          </a:extLst>
        </xdr:cNvPr>
        <xdr:cNvPicPr>
          <a:picLocks noChangeAspect="1"/>
        </xdr:cNvPicPr>
      </xdr:nvPicPr>
      <xdr:blipFill>
        <a:blip xmlns:r="http://schemas.openxmlformats.org/officeDocument/2006/relationships" r:embed="rId21"/>
        <a:stretch>
          <a:fillRect/>
        </a:stretch>
      </xdr:blipFill>
      <xdr:spPr>
        <a:xfrm>
          <a:off x="247650" y="248173875"/>
          <a:ext cx="8726400" cy="12688078"/>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A158"/>
  <sheetViews>
    <sheetView zoomScale="145" zoomScaleNormal="145" workbookViewId="0">
      <selection activeCell="E30" sqref="E30"/>
    </sheetView>
  </sheetViews>
  <sheetFormatPr defaultColWidth="1.85546875" defaultRowHeight="12.75"/>
  <cols>
    <col min="1" max="1" width="1.85546875" style="1"/>
    <col min="2" max="3" width="2" style="1" customWidth="1"/>
    <col min="4" max="4" width="2" style="2" customWidth="1"/>
    <col min="5" max="47" width="2" style="1" customWidth="1"/>
    <col min="48" max="52" width="1.85546875" style="1"/>
    <col min="53" max="53" width="6.7109375" style="1" customWidth="1"/>
    <col min="54" max="16384" width="1.85546875" style="1"/>
  </cols>
  <sheetData>
    <row r="2" spans="2:47">
      <c r="B2" s="282" t="s">
        <v>0</v>
      </c>
      <c r="C2" s="282"/>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282"/>
      <c r="AM2" s="282"/>
      <c r="AN2" s="282"/>
      <c r="AO2" s="282"/>
      <c r="AP2" s="282"/>
      <c r="AQ2" s="282"/>
      <c r="AR2" s="282"/>
      <c r="AS2" s="282"/>
      <c r="AT2" s="282"/>
      <c r="AU2" s="282"/>
    </row>
    <row r="3" spans="2:47" ht="20.25">
      <c r="B3" s="283" t="s">
        <v>1</v>
      </c>
      <c r="C3" s="283"/>
      <c r="D3" s="283"/>
      <c r="E3" s="283"/>
      <c r="F3" s="283"/>
      <c r="G3" s="283"/>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row>
    <row r="5" spans="2:47">
      <c r="B5" s="284" t="s">
        <v>2</v>
      </c>
      <c r="C5" s="284"/>
      <c r="D5" s="284"/>
      <c r="E5" s="284"/>
      <c r="F5" s="284"/>
      <c r="G5" s="284"/>
      <c r="H5" s="284"/>
      <c r="I5" s="284"/>
      <c r="J5" s="3">
        <v>1</v>
      </c>
      <c r="K5" s="285" t="str">
        <f>IF(J5=1,"Simples Nacional",IF(J5=2,"Lucro Real",IF(J5=3,"Lucro Presumido","Digite a opção correta")))</f>
        <v>Simples Nacional</v>
      </c>
      <c r="L5" s="285"/>
      <c r="M5" s="285"/>
      <c r="N5" s="285"/>
      <c r="O5" s="285"/>
      <c r="P5" s="285"/>
      <c r="Q5" s="285"/>
      <c r="AB5" s="4"/>
      <c r="AC5" s="4"/>
      <c r="AD5" s="4"/>
      <c r="AE5" s="4"/>
      <c r="AF5" s="5"/>
      <c r="AG5" s="4"/>
      <c r="AH5" s="4"/>
      <c r="AI5" s="4"/>
      <c r="AJ5" s="5" t="s">
        <v>3</v>
      </c>
      <c r="AK5" s="286"/>
      <c r="AL5" s="286"/>
      <c r="AM5" s="286"/>
      <c r="AN5" s="286"/>
      <c r="AO5" s="286"/>
      <c r="AP5" s="286"/>
      <c r="AQ5" s="286"/>
      <c r="AR5" s="286"/>
      <c r="AS5" s="286"/>
      <c r="AT5" s="286"/>
      <c r="AU5" s="286"/>
    </row>
    <row r="6" spans="2:47">
      <c r="B6" s="284" t="s">
        <v>4</v>
      </c>
      <c r="C6" s="284"/>
      <c r="D6" s="284"/>
      <c r="E6" s="284"/>
      <c r="F6" s="284"/>
      <c r="G6" s="284"/>
      <c r="H6" s="284"/>
      <c r="I6" s="284"/>
      <c r="J6" s="287">
        <f>IF(J5=1,0.9221,IF(J5=2,0.8575,IF(J5=3,0.9135,1)))</f>
        <v>0.92210000000000003</v>
      </c>
      <c r="K6" s="287"/>
      <c r="L6" s="287"/>
      <c r="M6" s="287"/>
      <c r="N6" s="287"/>
      <c r="O6" s="287"/>
      <c r="P6" s="287"/>
      <c r="Q6" s="287"/>
      <c r="AB6" s="4"/>
      <c r="AC6" s="4"/>
      <c r="AD6" s="4"/>
      <c r="AE6" s="4"/>
      <c r="AF6" s="5"/>
      <c r="AG6" s="4"/>
      <c r="AH6" s="4"/>
      <c r="AI6" s="4"/>
      <c r="AJ6" s="5" t="s">
        <v>5</v>
      </c>
      <c r="AK6" s="286"/>
      <c r="AL6" s="286"/>
      <c r="AM6" s="286"/>
      <c r="AN6" s="286"/>
      <c r="AO6" s="286"/>
      <c r="AP6" s="286"/>
      <c r="AQ6" s="286"/>
      <c r="AR6" s="286"/>
      <c r="AS6" s="286"/>
      <c r="AT6" s="286"/>
      <c r="AU6" s="286"/>
    </row>
    <row r="8" spans="2:47">
      <c r="B8" s="288" t="s">
        <v>6</v>
      </c>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c r="AN8" s="288"/>
      <c r="AO8" s="288"/>
      <c r="AP8" s="288"/>
      <c r="AQ8" s="288"/>
      <c r="AR8" s="288"/>
      <c r="AS8" s="288"/>
      <c r="AT8" s="288"/>
      <c r="AU8" s="288"/>
    </row>
    <row r="9" spans="2:47">
      <c r="B9" s="284" t="s">
        <v>7</v>
      </c>
      <c r="C9" s="284"/>
      <c r="D9" s="284"/>
      <c r="E9" s="289" t="s">
        <v>8</v>
      </c>
      <c r="F9" s="289"/>
      <c r="G9" s="289"/>
      <c r="H9" s="289"/>
      <c r="I9" s="289"/>
      <c r="J9" s="289"/>
      <c r="K9" s="289"/>
      <c r="L9" s="289"/>
      <c r="M9" s="289"/>
      <c r="N9" s="289"/>
      <c r="O9" s="289"/>
      <c r="P9" s="289"/>
      <c r="Q9" s="289"/>
      <c r="R9" s="289"/>
      <c r="S9" s="289"/>
      <c r="T9" s="289"/>
      <c r="U9" s="289"/>
      <c r="V9" s="289"/>
      <c r="W9" s="289"/>
      <c r="X9" s="289"/>
      <c r="Y9" s="289"/>
      <c r="Z9" s="289"/>
      <c r="AA9" s="289"/>
      <c r="AB9" s="289"/>
      <c r="AC9" s="289"/>
      <c r="AD9" s="289"/>
      <c r="AE9" s="289"/>
      <c r="AF9" s="289"/>
      <c r="AG9" s="289"/>
      <c r="AH9" s="289"/>
      <c r="AI9" s="289"/>
      <c r="AJ9" s="289"/>
      <c r="AK9" s="290"/>
      <c r="AL9" s="290"/>
      <c r="AM9" s="290"/>
      <c r="AN9" s="290"/>
      <c r="AO9" s="290"/>
      <c r="AP9" s="290"/>
      <c r="AQ9" s="290"/>
      <c r="AR9" s="290"/>
      <c r="AS9" s="290"/>
      <c r="AT9" s="290"/>
      <c r="AU9" s="290"/>
    </row>
    <row r="10" spans="2:47">
      <c r="B10" s="284" t="s">
        <v>9</v>
      </c>
      <c r="C10" s="284"/>
      <c r="D10" s="284"/>
      <c r="E10" s="289" t="s">
        <v>10</v>
      </c>
      <c r="F10" s="289"/>
      <c r="G10" s="289"/>
      <c r="H10" s="289"/>
      <c r="I10" s="289"/>
      <c r="J10" s="289"/>
      <c r="K10" s="289"/>
      <c r="L10" s="289"/>
      <c r="M10" s="289"/>
      <c r="N10" s="289"/>
      <c r="O10" s="289"/>
      <c r="P10" s="289"/>
      <c r="Q10" s="289"/>
      <c r="R10" s="289"/>
      <c r="S10" s="289"/>
      <c r="T10" s="289"/>
      <c r="U10" s="289"/>
      <c r="V10" s="289"/>
      <c r="W10" s="289"/>
      <c r="X10" s="289"/>
      <c r="Y10" s="289"/>
      <c r="Z10" s="289"/>
      <c r="AA10" s="289"/>
      <c r="AB10" s="289"/>
      <c r="AC10" s="289"/>
      <c r="AD10" s="289"/>
      <c r="AE10" s="289"/>
      <c r="AF10" s="289"/>
      <c r="AG10" s="289"/>
      <c r="AH10" s="289"/>
      <c r="AI10" s="289"/>
      <c r="AJ10" s="289"/>
      <c r="AK10" s="290"/>
      <c r="AL10" s="290"/>
      <c r="AM10" s="290"/>
      <c r="AN10" s="290"/>
      <c r="AO10" s="290"/>
      <c r="AP10" s="290"/>
      <c r="AQ10" s="290"/>
      <c r="AR10" s="290"/>
      <c r="AS10" s="290"/>
      <c r="AT10" s="290"/>
      <c r="AU10" s="290"/>
    </row>
    <row r="11" spans="2:47">
      <c r="B11" s="284" t="s">
        <v>11</v>
      </c>
      <c r="C11" s="284"/>
      <c r="D11" s="284"/>
      <c r="E11" s="289" t="s">
        <v>12</v>
      </c>
      <c r="F11" s="289"/>
      <c r="G11" s="289"/>
      <c r="H11" s="289"/>
      <c r="I11" s="289"/>
      <c r="J11" s="289"/>
      <c r="K11" s="289"/>
      <c r="L11" s="289"/>
      <c r="M11" s="289"/>
      <c r="N11" s="289"/>
      <c r="O11" s="289"/>
      <c r="P11" s="289"/>
      <c r="Q11" s="289"/>
      <c r="R11" s="289"/>
      <c r="S11" s="289"/>
      <c r="T11" s="289"/>
      <c r="U11" s="289"/>
      <c r="V11" s="289"/>
      <c r="W11" s="289"/>
      <c r="X11" s="289"/>
      <c r="Y11" s="289"/>
      <c r="Z11" s="289"/>
      <c r="AA11" s="289"/>
      <c r="AB11" s="289"/>
      <c r="AC11" s="289"/>
      <c r="AD11" s="289"/>
      <c r="AE11" s="289"/>
      <c r="AF11" s="289"/>
      <c r="AG11" s="289"/>
      <c r="AH11" s="289"/>
      <c r="AI11" s="289"/>
      <c r="AJ11" s="289"/>
      <c r="AK11" s="290"/>
      <c r="AL11" s="290"/>
      <c r="AM11" s="290"/>
      <c r="AN11" s="290"/>
      <c r="AO11" s="290"/>
      <c r="AP11" s="290"/>
      <c r="AQ11" s="290"/>
      <c r="AR11" s="290"/>
      <c r="AS11" s="290"/>
      <c r="AT11" s="290"/>
      <c r="AU11" s="290"/>
    </row>
    <row r="12" spans="2:47">
      <c r="B12" s="284" t="s">
        <v>13</v>
      </c>
      <c r="C12" s="284"/>
      <c r="D12" s="284"/>
      <c r="E12" s="289" t="s">
        <v>14</v>
      </c>
      <c r="F12" s="289"/>
      <c r="G12" s="289"/>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89"/>
      <c r="AF12" s="289"/>
      <c r="AG12" s="289"/>
      <c r="AH12" s="289"/>
      <c r="AI12" s="289"/>
      <c r="AJ12" s="289"/>
      <c r="AK12" s="290"/>
      <c r="AL12" s="290"/>
      <c r="AM12" s="290"/>
      <c r="AN12" s="290"/>
      <c r="AO12" s="290"/>
      <c r="AP12" s="290"/>
      <c r="AQ12" s="290"/>
      <c r="AR12" s="290"/>
      <c r="AS12" s="290"/>
      <c r="AT12" s="290"/>
      <c r="AU12" s="290"/>
    </row>
    <row r="14" spans="2:47">
      <c r="B14" s="288" t="s">
        <v>15</v>
      </c>
      <c r="C14" s="288"/>
      <c r="D14" s="288"/>
      <c r="E14" s="288"/>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288"/>
      <c r="AL14" s="288"/>
      <c r="AM14" s="288"/>
      <c r="AN14" s="288"/>
      <c r="AO14" s="288"/>
      <c r="AP14" s="288"/>
      <c r="AQ14" s="288"/>
      <c r="AR14" s="288"/>
      <c r="AS14" s="288"/>
      <c r="AT14" s="288"/>
      <c r="AU14" s="288"/>
    </row>
    <row r="15" spans="2:47" ht="12.75" customHeight="1">
      <c r="B15" s="291" t="s">
        <v>16</v>
      </c>
      <c r="C15" s="291"/>
      <c r="D15" s="291"/>
      <c r="E15" s="291"/>
      <c r="F15" s="291"/>
      <c r="G15" s="291"/>
      <c r="H15" s="291"/>
      <c r="I15" s="291"/>
      <c r="J15" s="291"/>
      <c r="K15" s="291"/>
      <c r="L15" s="291"/>
      <c r="M15" s="291" t="s">
        <v>17</v>
      </c>
      <c r="N15" s="291"/>
      <c r="O15" s="291"/>
      <c r="P15" s="291"/>
      <c r="Q15" s="291"/>
      <c r="R15" s="291"/>
      <c r="S15" s="291"/>
      <c r="T15" s="291"/>
      <c r="U15" s="291"/>
      <c r="V15" s="291"/>
      <c r="W15" s="291"/>
      <c r="X15" s="292" t="s">
        <v>18</v>
      </c>
      <c r="Y15" s="292"/>
      <c r="Z15" s="292"/>
      <c r="AA15" s="292"/>
      <c r="AB15" s="292"/>
      <c r="AC15" s="292"/>
      <c r="AD15" s="292"/>
      <c r="AE15" s="292"/>
      <c r="AF15" s="292"/>
      <c r="AG15" s="292"/>
      <c r="AH15" s="292"/>
      <c r="AI15" s="292"/>
      <c r="AJ15" s="292"/>
      <c r="AK15" s="292"/>
      <c r="AL15" s="292"/>
      <c r="AM15" s="292"/>
      <c r="AN15" s="292"/>
      <c r="AO15" s="292"/>
      <c r="AP15" s="292"/>
      <c r="AQ15" s="292"/>
      <c r="AR15" s="292"/>
      <c r="AS15" s="292"/>
      <c r="AT15" s="292"/>
      <c r="AU15" s="292"/>
    </row>
    <row r="16" spans="2:47">
      <c r="B16" s="291"/>
      <c r="C16" s="291"/>
      <c r="D16" s="291"/>
      <c r="E16" s="291"/>
      <c r="F16" s="291"/>
      <c r="G16" s="291"/>
      <c r="H16" s="291"/>
      <c r="I16" s="291"/>
      <c r="J16" s="291"/>
      <c r="K16" s="291"/>
      <c r="L16" s="291"/>
      <c r="M16" s="291"/>
      <c r="N16" s="291"/>
      <c r="O16" s="291"/>
      <c r="P16" s="291"/>
      <c r="Q16" s="291"/>
      <c r="R16" s="291"/>
      <c r="S16" s="291"/>
      <c r="T16" s="291"/>
      <c r="U16" s="291"/>
      <c r="V16" s="291"/>
      <c r="W16" s="291"/>
      <c r="X16" s="292"/>
      <c r="Y16" s="292"/>
      <c r="Z16" s="292"/>
      <c r="AA16" s="292"/>
      <c r="AB16" s="292"/>
      <c r="AC16" s="292"/>
      <c r="AD16" s="292"/>
      <c r="AE16" s="292"/>
      <c r="AF16" s="292"/>
      <c r="AG16" s="292"/>
      <c r="AH16" s="292"/>
      <c r="AI16" s="292"/>
      <c r="AJ16" s="292"/>
      <c r="AK16" s="292"/>
      <c r="AL16" s="292"/>
      <c r="AM16" s="292"/>
      <c r="AN16" s="292"/>
      <c r="AO16" s="292"/>
      <c r="AP16" s="292"/>
      <c r="AQ16" s="292"/>
      <c r="AR16" s="292"/>
      <c r="AS16" s="292"/>
      <c r="AT16" s="292"/>
      <c r="AU16" s="292"/>
    </row>
    <row r="17" spans="2:47" s="6" customFormat="1">
      <c r="B17" s="290" t="s">
        <v>19</v>
      </c>
      <c r="C17" s="290"/>
      <c r="D17" s="290"/>
      <c r="E17" s="290"/>
      <c r="F17" s="290"/>
      <c r="G17" s="290"/>
      <c r="H17" s="290"/>
      <c r="I17" s="290"/>
      <c r="J17" s="290"/>
      <c r="K17" s="290"/>
      <c r="L17" s="290"/>
      <c r="M17" s="290" t="s">
        <v>20</v>
      </c>
      <c r="N17" s="290"/>
      <c r="O17" s="290"/>
      <c r="P17" s="290"/>
      <c r="Q17" s="290"/>
      <c r="R17" s="290"/>
      <c r="S17" s="290"/>
      <c r="T17" s="290"/>
      <c r="U17" s="290"/>
      <c r="V17" s="290"/>
      <c r="W17" s="290"/>
      <c r="X17" s="290">
        <v>1</v>
      </c>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row>
    <row r="18" spans="2:47" s="6" customFormat="1">
      <c r="B18" s="290"/>
      <c r="C18" s="290"/>
      <c r="D18" s="290"/>
      <c r="E18" s="290"/>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row>
    <row r="19" spans="2:47" s="6" customFormat="1">
      <c r="B19" s="284"/>
      <c r="C19" s="284"/>
      <c r="D19" s="284"/>
      <c r="E19" s="284"/>
      <c r="F19" s="284"/>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4"/>
      <c r="AP19" s="284"/>
      <c r="AQ19" s="284"/>
      <c r="AR19" s="284"/>
      <c r="AS19" s="284"/>
      <c r="AT19" s="284"/>
      <c r="AU19" s="284"/>
    </row>
    <row r="20" spans="2:47" s="6" customFormat="1">
      <c r="B20" s="284"/>
      <c r="C20" s="284"/>
      <c r="D20" s="284"/>
      <c r="E20" s="284"/>
      <c r="F20" s="284"/>
      <c r="G20" s="284"/>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c r="AL20" s="284"/>
      <c r="AM20" s="284"/>
      <c r="AN20" s="284"/>
      <c r="AO20" s="284"/>
      <c r="AP20" s="284"/>
      <c r="AQ20" s="284"/>
      <c r="AR20" s="284"/>
      <c r="AS20" s="284"/>
      <c r="AT20" s="284"/>
      <c r="AU20" s="284"/>
    </row>
    <row r="22" spans="2:47">
      <c r="B22" s="282" t="s">
        <v>21</v>
      </c>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82"/>
      <c r="AH22" s="282"/>
      <c r="AI22" s="282"/>
      <c r="AJ22" s="282"/>
      <c r="AK22" s="282"/>
      <c r="AL22" s="282"/>
      <c r="AM22" s="282"/>
      <c r="AN22" s="282"/>
      <c r="AO22" s="282"/>
      <c r="AP22" s="282"/>
      <c r="AQ22" s="282"/>
      <c r="AR22" s="282"/>
      <c r="AS22" s="282"/>
      <c r="AT22" s="282"/>
      <c r="AU22" s="282"/>
    </row>
    <row r="23" spans="2:47">
      <c r="B23" s="293" t="s">
        <v>22</v>
      </c>
      <c r="C23" s="293"/>
      <c r="D23" s="293"/>
      <c r="E23" s="293"/>
      <c r="F23" s="293"/>
      <c r="G23" s="293"/>
      <c r="H23" s="293"/>
      <c r="I23" s="293"/>
      <c r="J23" s="293"/>
      <c r="K23" s="293"/>
      <c r="L23" s="293"/>
      <c r="M23" s="293"/>
      <c r="N23" s="293"/>
      <c r="O23" s="293"/>
      <c r="P23" s="293"/>
      <c r="Q23" s="293"/>
      <c r="R23" s="293"/>
      <c r="S23" s="293"/>
      <c r="T23" s="293"/>
      <c r="U23" s="293"/>
      <c r="V23" s="293"/>
      <c r="W23" s="293"/>
      <c r="X23" s="293"/>
      <c r="Y23" s="293"/>
      <c r="Z23" s="293"/>
      <c r="AA23" s="293"/>
      <c r="AB23" s="293"/>
      <c r="AC23" s="293"/>
      <c r="AD23" s="293"/>
      <c r="AE23" s="293"/>
      <c r="AF23" s="293"/>
      <c r="AG23" s="293"/>
      <c r="AH23" s="293"/>
      <c r="AI23" s="293"/>
      <c r="AJ23" s="293"/>
      <c r="AK23" s="293"/>
      <c r="AL23" s="293"/>
      <c r="AM23" s="293"/>
      <c r="AN23" s="293"/>
      <c r="AO23" s="293"/>
      <c r="AP23" s="293"/>
      <c r="AQ23" s="293"/>
      <c r="AR23" s="293"/>
      <c r="AS23" s="293"/>
      <c r="AT23" s="293"/>
      <c r="AU23" s="293"/>
    </row>
    <row r="24" spans="2:47">
      <c r="B24" s="294"/>
      <c r="C24" s="294"/>
      <c r="D24" s="294"/>
      <c r="E24" s="294"/>
      <c r="F24" s="294"/>
      <c r="G24" s="294"/>
      <c r="H24" s="294"/>
      <c r="I24" s="294"/>
      <c r="J24" s="294"/>
      <c r="K24" s="294"/>
      <c r="L24" s="294"/>
      <c r="M24" s="294"/>
      <c r="N24" s="294"/>
      <c r="O24" s="294"/>
      <c r="P24" s="294"/>
      <c r="Q24" s="294"/>
      <c r="R24" s="294"/>
      <c r="S24" s="294"/>
      <c r="T24" s="294"/>
      <c r="U24" s="294"/>
      <c r="V24" s="294"/>
      <c r="W24" s="294"/>
      <c r="X24" s="294"/>
      <c r="Y24" s="294"/>
      <c r="Z24" s="294"/>
      <c r="AA24" s="294"/>
      <c r="AB24" s="294"/>
      <c r="AC24" s="294"/>
      <c r="AD24" s="294"/>
      <c r="AE24" s="294"/>
      <c r="AF24" s="294"/>
      <c r="AG24" s="294"/>
      <c r="AH24" s="294"/>
      <c r="AI24" s="294"/>
      <c r="AJ24" s="294"/>
      <c r="AK24" s="294"/>
      <c r="AL24" s="294"/>
      <c r="AM24" s="294"/>
      <c r="AN24" s="294"/>
      <c r="AO24" s="294"/>
      <c r="AP24" s="294"/>
      <c r="AQ24" s="294"/>
      <c r="AR24" s="294"/>
      <c r="AS24" s="294"/>
      <c r="AT24" s="294"/>
      <c r="AU24" s="294"/>
    </row>
    <row r="25" spans="2:47">
      <c r="B25" s="7" t="s">
        <v>23</v>
      </c>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291"/>
      <c r="AF25" s="291"/>
      <c r="AG25" s="291"/>
      <c r="AH25" s="291"/>
      <c r="AI25" s="291"/>
      <c r="AJ25" s="291"/>
      <c r="AK25" s="291" t="s">
        <v>24</v>
      </c>
      <c r="AL25" s="291"/>
      <c r="AM25" s="291"/>
      <c r="AN25" s="291"/>
      <c r="AO25" s="291"/>
      <c r="AP25" s="291"/>
      <c r="AQ25" s="291"/>
      <c r="AR25" s="291"/>
      <c r="AS25" s="291"/>
      <c r="AT25" s="291"/>
      <c r="AU25" s="291"/>
    </row>
    <row r="26" spans="2:47">
      <c r="B26" s="284">
        <v>1</v>
      </c>
      <c r="C26" s="284"/>
      <c r="D26" s="284"/>
      <c r="E26" s="295" t="s">
        <v>25</v>
      </c>
      <c r="F26" s="295"/>
      <c r="G26" s="295"/>
      <c r="H26" s="295"/>
      <c r="I26" s="295"/>
      <c r="J26" s="295"/>
      <c r="K26" s="295"/>
      <c r="L26" s="295"/>
      <c r="M26" s="295"/>
      <c r="N26" s="295"/>
      <c r="O26" s="295"/>
      <c r="P26" s="295"/>
      <c r="Q26" s="295"/>
      <c r="R26" s="295"/>
      <c r="S26" s="295"/>
      <c r="T26" s="295"/>
      <c r="U26" s="295"/>
      <c r="V26" s="295"/>
      <c r="W26" s="295"/>
      <c r="X26" s="295"/>
      <c r="Y26" s="295"/>
      <c r="Z26" s="295"/>
      <c r="AA26" s="295"/>
      <c r="AB26" s="295"/>
      <c r="AC26" s="295"/>
      <c r="AD26" s="295"/>
      <c r="AE26" s="290"/>
      <c r="AF26" s="290"/>
      <c r="AG26" s="290"/>
      <c r="AH26" s="290"/>
      <c r="AI26" s="290"/>
      <c r="AJ26" s="290"/>
      <c r="AK26" s="290"/>
      <c r="AL26" s="290"/>
      <c r="AM26" s="290"/>
      <c r="AN26" s="290"/>
      <c r="AO26" s="290"/>
      <c r="AP26" s="290"/>
      <c r="AQ26" s="290"/>
      <c r="AR26" s="290"/>
      <c r="AS26" s="290"/>
      <c r="AT26" s="290"/>
      <c r="AU26" s="290"/>
    </row>
    <row r="27" spans="2:47">
      <c r="B27" s="284">
        <v>2</v>
      </c>
      <c r="C27" s="284"/>
      <c r="D27" s="284"/>
      <c r="E27" s="295" t="s">
        <v>26</v>
      </c>
      <c r="F27" s="295"/>
      <c r="G27" s="295"/>
      <c r="H27" s="295"/>
      <c r="I27" s="295"/>
      <c r="J27" s="295"/>
      <c r="K27" s="295"/>
      <c r="L27" s="295"/>
      <c r="M27" s="295"/>
      <c r="N27" s="295"/>
      <c r="O27" s="295"/>
      <c r="P27" s="295"/>
      <c r="Q27" s="295"/>
      <c r="R27" s="295"/>
      <c r="S27" s="295"/>
      <c r="T27" s="295"/>
      <c r="U27" s="295"/>
      <c r="V27" s="295"/>
      <c r="W27" s="295"/>
      <c r="X27" s="295"/>
      <c r="Y27" s="295"/>
      <c r="Z27" s="295"/>
      <c r="AA27" s="295"/>
      <c r="AB27" s="295"/>
      <c r="AC27" s="295"/>
      <c r="AD27" s="295"/>
      <c r="AE27" s="290"/>
      <c r="AF27" s="290"/>
      <c r="AG27" s="290"/>
      <c r="AH27" s="290"/>
      <c r="AI27" s="290"/>
      <c r="AJ27" s="290"/>
      <c r="AK27" s="290"/>
      <c r="AL27" s="290"/>
      <c r="AM27" s="290"/>
      <c r="AN27" s="290"/>
      <c r="AO27" s="290"/>
      <c r="AP27" s="290"/>
      <c r="AQ27" s="290"/>
      <c r="AR27" s="290"/>
      <c r="AS27" s="290"/>
      <c r="AT27" s="290"/>
      <c r="AU27" s="290"/>
    </row>
    <row r="28" spans="2:47">
      <c r="B28" s="284">
        <v>3</v>
      </c>
      <c r="C28" s="284"/>
      <c r="D28" s="284"/>
      <c r="E28" s="295" t="s">
        <v>27</v>
      </c>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0"/>
      <c r="AF28" s="290"/>
      <c r="AG28" s="290"/>
      <c r="AH28" s="290"/>
      <c r="AI28" s="290"/>
      <c r="AJ28" s="290"/>
      <c r="AK28" s="290"/>
      <c r="AL28" s="290"/>
      <c r="AM28" s="290"/>
      <c r="AN28" s="290"/>
      <c r="AO28" s="290"/>
      <c r="AP28" s="290"/>
      <c r="AQ28" s="290"/>
      <c r="AR28" s="290"/>
      <c r="AS28" s="290"/>
      <c r="AT28" s="290"/>
      <c r="AU28" s="290"/>
    </row>
    <row r="29" spans="2:47">
      <c r="B29" s="284">
        <v>4</v>
      </c>
      <c r="C29" s="284"/>
      <c r="D29" s="284"/>
      <c r="E29" s="295" t="s">
        <v>28</v>
      </c>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0"/>
      <c r="AF29" s="290"/>
      <c r="AG29" s="290"/>
      <c r="AH29" s="290"/>
      <c r="AI29" s="290"/>
      <c r="AJ29" s="290"/>
      <c r="AK29" s="290"/>
      <c r="AL29" s="290"/>
      <c r="AM29" s="290"/>
      <c r="AN29" s="290"/>
      <c r="AO29" s="290"/>
      <c r="AP29" s="290"/>
      <c r="AQ29" s="290"/>
      <c r="AR29" s="290"/>
      <c r="AS29" s="290"/>
      <c r="AT29" s="290"/>
      <c r="AU29" s="290"/>
    </row>
    <row r="31" spans="2:47">
      <c r="B31" s="291" t="s">
        <v>29</v>
      </c>
      <c r="C31" s="291"/>
      <c r="D31" s="291"/>
      <c r="E31" s="291"/>
      <c r="F31" s="291"/>
      <c r="G31" s="291"/>
      <c r="H31" s="291"/>
      <c r="I31" s="291"/>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c r="AR31" s="291"/>
      <c r="AS31" s="291"/>
      <c r="AT31" s="291"/>
      <c r="AU31" s="291"/>
    </row>
    <row r="32" spans="2:47">
      <c r="B32" s="291">
        <v>1</v>
      </c>
      <c r="C32" s="291"/>
      <c r="D32" s="291"/>
      <c r="E32" s="288" t="s">
        <v>30</v>
      </c>
      <c r="F32" s="288"/>
      <c r="G32" s="288"/>
      <c r="H32" s="288"/>
      <c r="I32" s="288"/>
      <c r="J32" s="288"/>
      <c r="K32" s="288"/>
      <c r="L32" s="288"/>
      <c r="M32" s="288"/>
      <c r="N32" s="288"/>
      <c r="O32" s="288"/>
      <c r="P32" s="288"/>
      <c r="Q32" s="288"/>
      <c r="R32" s="288"/>
      <c r="S32" s="288"/>
      <c r="T32" s="288"/>
      <c r="U32" s="288"/>
      <c r="V32" s="288"/>
      <c r="W32" s="288"/>
      <c r="X32" s="288"/>
      <c r="Y32" s="288"/>
      <c r="Z32" s="288"/>
      <c r="AA32" s="288"/>
      <c r="AB32" s="288"/>
      <c r="AC32" s="288"/>
      <c r="AD32" s="288"/>
      <c r="AE32" s="291" t="s">
        <v>31</v>
      </c>
      <c r="AF32" s="291"/>
      <c r="AG32" s="291"/>
      <c r="AH32" s="291"/>
      <c r="AI32" s="291"/>
      <c r="AJ32" s="291"/>
      <c r="AK32" s="291" t="s">
        <v>24</v>
      </c>
      <c r="AL32" s="291"/>
      <c r="AM32" s="291"/>
      <c r="AN32" s="291"/>
      <c r="AO32" s="291"/>
      <c r="AP32" s="291"/>
      <c r="AQ32" s="291"/>
      <c r="AR32" s="291"/>
      <c r="AS32" s="291"/>
      <c r="AT32" s="291"/>
      <c r="AU32" s="291"/>
    </row>
    <row r="33" spans="1:47">
      <c r="B33" s="284" t="s">
        <v>7</v>
      </c>
      <c r="C33" s="284"/>
      <c r="D33" s="284"/>
      <c r="E33" s="295" t="s">
        <v>32</v>
      </c>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6" t="s">
        <v>33</v>
      </c>
      <c r="AF33" s="296"/>
      <c r="AG33" s="296"/>
      <c r="AH33" s="296"/>
      <c r="AI33" s="296"/>
      <c r="AJ33" s="296"/>
      <c r="AK33" s="297">
        <v>900</v>
      </c>
      <c r="AL33" s="297"/>
      <c r="AM33" s="297"/>
      <c r="AN33" s="297"/>
      <c r="AO33" s="297"/>
      <c r="AP33" s="297"/>
      <c r="AQ33" s="297"/>
      <c r="AR33" s="297"/>
      <c r="AS33" s="297"/>
      <c r="AT33" s="297"/>
      <c r="AU33" s="297"/>
    </row>
    <row r="34" spans="1:47">
      <c r="B34" s="284" t="s">
        <v>9</v>
      </c>
      <c r="C34" s="284"/>
      <c r="D34" s="284"/>
      <c r="E34" s="295" t="s">
        <v>34</v>
      </c>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8">
        <v>0.3</v>
      </c>
      <c r="AF34" s="298"/>
      <c r="AG34" s="298"/>
      <c r="AH34" s="298"/>
      <c r="AI34" s="298"/>
      <c r="AJ34" s="298"/>
      <c r="AK34" s="299">
        <f>ROUND(AK33*AE34,2)</f>
        <v>270</v>
      </c>
      <c r="AL34" s="299"/>
      <c r="AM34" s="299"/>
      <c r="AN34" s="299"/>
      <c r="AO34" s="299"/>
      <c r="AP34" s="299"/>
      <c r="AQ34" s="299"/>
      <c r="AR34" s="299"/>
      <c r="AS34" s="299"/>
      <c r="AT34" s="299"/>
      <c r="AU34" s="299"/>
    </row>
    <row r="35" spans="1:47">
      <c r="B35" s="284" t="s">
        <v>11</v>
      </c>
      <c r="C35" s="284"/>
      <c r="D35" s="284"/>
      <c r="E35" s="295" t="s">
        <v>35</v>
      </c>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8"/>
      <c r="AF35" s="298"/>
      <c r="AG35" s="298"/>
      <c r="AH35" s="298"/>
      <c r="AI35" s="298"/>
      <c r="AJ35" s="298"/>
      <c r="AK35" s="299">
        <f>ROUND(AK33*AE35,2)</f>
        <v>0</v>
      </c>
      <c r="AL35" s="299"/>
      <c r="AM35" s="299"/>
      <c r="AN35" s="299"/>
      <c r="AO35" s="299"/>
      <c r="AP35" s="299"/>
      <c r="AQ35" s="299"/>
      <c r="AR35" s="299"/>
      <c r="AS35" s="299"/>
      <c r="AT35" s="299"/>
      <c r="AU35" s="299"/>
    </row>
    <row r="36" spans="1:47">
      <c r="B36" s="284" t="s">
        <v>13</v>
      </c>
      <c r="C36" s="284"/>
      <c r="D36" s="284"/>
      <c r="E36" s="295" t="s">
        <v>36</v>
      </c>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6"/>
      <c r="AF36" s="296"/>
      <c r="AG36" s="296"/>
      <c r="AH36" s="296"/>
      <c r="AI36" s="296"/>
      <c r="AJ36" s="296"/>
      <c r="AK36" s="299">
        <v>0</v>
      </c>
      <c r="AL36" s="299"/>
      <c r="AM36" s="299"/>
      <c r="AN36" s="299"/>
      <c r="AO36" s="299"/>
      <c r="AP36" s="299"/>
      <c r="AQ36" s="299"/>
      <c r="AR36" s="299"/>
      <c r="AS36" s="299"/>
      <c r="AT36" s="299"/>
      <c r="AU36" s="299"/>
    </row>
    <row r="37" spans="1:47" ht="25.5" customHeight="1">
      <c r="A37" s="9"/>
      <c r="B37" s="284" t="s">
        <v>37</v>
      </c>
      <c r="C37" s="284"/>
      <c r="D37" s="284"/>
      <c r="E37" s="300" t="s">
        <v>38</v>
      </c>
      <c r="F37" s="300"/>
      <c r="G37" s="300"/>
      <c r="H37" s="300"/>
      <c r="I37" s="300"/>
      <c r="J37" s="300"/>
      <c r="K37" s="300"/>
      <c r="L37" s="300"/>
      <c r="M37" s="300"/>
      <c r="N37" s="300"/>
      <c r="O37" s="300"/>
      <c r="P37" s="300"/>
      <c r="Q37" s="300"/>
      <c r="R37" s="300"/>
      <c r="S37" s="300"/>
      <c r="T37" s="300"/>
      <c r="U37" s="300"/>
      <c r="V37" s="300"/>
      <c r="W37" s="300"/>
      <c r="X37" s="300"/>
      <c r="Y37" s="300"/>
      <c r="Z37" s="300"/>
      <c r="AA37" s="300"/>
      <c r="AB37" s="300"/>
      <c r="AC37" s="300"/>
      <c r="AD37" s="300"/>
      <c r="AE37" s="296"/>
      <c r="AF37" s="296"/>
      <c r="AG37" s="296"/>
      <c r="AH37" s="296"/>
      <c r="AI37" s="296"/>
      <c r="AJ37" s="296"/>
      <c r="AK37" s="299">
        <v>0</v>
      </c>
      <c r="AL37" s="299"/>
      <c r="AM37" s="299"/>
      <c r="AN37" s="299"/>
      <c r="AO37" s="299"/>
      <c r="AP37" s="299"/>
      <c r="AQ37" s="299"/>
      <c r="AR37" s="299"/>
      <c r="AS37" s="299"/>
      <c r="AT37" s="299"/>
      <c r="AU37" s="299"/>
    </row>
    <row r="38" spans="1:47" ht="13.5">
      <c r="B38" s="284" t="s">
        <v>39</v>
      </c>
      <c r="C38" s="284"/>
      <c r="D38" s="284"/>
      <c r="E38" s="295" t="s">
        <v>40</v>
      </c>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6"/>
      <c r="AF38" s="296"/>
      <c r="AG38" s="296"/>
      <c r="AH38" s="296"/>
      <c r="AI38" s="296"/>
      <c r="AJ38" s="296"/>
      <c r="AK38" s="301">
        <f>ROUND(AK33*AE38,2)</f>
        <v>0</v>
      </c>
      <c r="AL38" s="301"/>
      <c r="AM38" s="301"/>
      <c r="AN38" s="301"/>
      <c r="AO38" s="301"/>
      <c r="AP38" s="301"/>
      <c r="AQ38" s="301"/>
      <c r="AR38" s="301"/>
      <c r="AS38" s="301"/>
      <c r="AT38" s="301"/>
      <c r="AU38" s="301"/>
    </row>
    <row r="39" spans="1:47">
      <c r="B39" s="284" t="s">
        <v>41</v>
      </c>
      <c r="C39" s="284"/>
      <c r="D39" s="284"/>
      <c r="E39" s="295" t="s">
        <v>42</v>
      </c>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6"/>
      <c r="AF39" s="296"/>
      <c r="AG39" s="296"/>
      <c r="AH39" s="296"/>
      <c r="AI39" s="296"/>
      <c r="AJ39" s="296"/>
      <c r="AK39" s="299">
        <v>0</v>
      </c>
      <c r="AL39" s="299"/>
      <c r="AM39" s="299"/>
      <c r="AN39" s="299"/>
      <c r="AO39" s="299"/>
      <c r="AP39" s="299"/>
      <c r="AQ39" s="299"/>
      <c r="AR39" s="299"/>
      <c r="AS39" s="299"/>
      <c r="AT39" s="299"/>
      <c r="AU39" s="299"/>
    </row>
    <row r="40" spans="1:47">
      <c r="B40" s="284" t="s">
        <v>43</v>
      </c>
      <c r="C40" s="284"/>
      <c r="D40" s="284"/>
      <c r="E40" s="295" t="s">
        <v>44</v>
      </c>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6"/>
      <c r="AF40" s="296"/>
      <c r="AG40" s="296"/>
      <c r="AH40" s="296"/>
      <c r="AI40" s="296"/>
      <c r="AJ40" s="296"/>
      <c r="AK40" s="299">
        <v>0</v>
      </c>
      <c r="AL40" s="299"/>
      <c r="AM40" s="299"/>
      <c r="AN40" s="299"/>
      <c r="AO40" s="299"/>
      <c r="AP40" s="299"/>
      <c r="AQ40" s="299"/>
      <c r="AR40" s="299"/>
      <c r="AS40" s="299"/>
      <c r="AT40" s="299"/>
      <c r="AU40" s="299"/>
    </row>
    <row r="41" spans="1:47">
      <c r="B41" s="302" t="s">
        <v>45</v>
      </c>
      <c r="C41" s="302"/>
      <c r="D41" s="302"/>
      <c r="E41" s="302"/>
      <c r="F41" s="302"/>
      <c r="G41" s="302"/>
      <c r="H41" s="302"/>
      <c r="I41" s="302"/>
      <c r="J41" s="302"/>
      <c r="K41" s="302"/>
      <c r="L41" s="302"/>
      <c r="M41" s="302"/>
      <c r="N41" s="302"/>
      <c r="O41" s="302"/>
      <c r="P41" s="302"/>
      <c r="Q41" s="302"/>
      <c r="R41" s="302"/>
      <c r="S41" s="302"/>
      <c r="T41" s="302"/>
      <c r="U41" s="302"/>
      <c r="V41" s="302"/>
      <c r="W41" s="302"/>
      <c r="X41" s="302"/>
      <c r="Y41" s="302"/>
      <c r="Z41" s="302"/>
      <c r="AA41" s="302"/>
      <c r="AB41" s="302"/>
      <c r="AC41" s="302"/>
      <c r="AD41" s="302"/>
      <c r="AE41" s="302"/>
      <c r="AF41" s="302"/>
      <c r="AG41" s="302"/>
      <c r="AH41" s="302"/>
      <c r="AI41" s="302"/>
      <c r="AJ41" s="302"/>
      <c r="AK41" s="303">
        <f>ROUND(SUM(AK33:AU40),2)</f>
        <v>1170</v>
      </c>
      <c r="AL41" s="303"/>
      <c r="AM41" s="303"/>
      <c r="AN41" s="303"/>
      <c r="AO41" s="303"/>
      <c r="AP41" s="303"/>
      <c r="AQ41" s="303"/>
      <c r="AR41" s="303"/>
      <c r="AS41" s="303"/>
      <c r="AT41" s="303"/>
      <c r="AU41" s="303"/>
    </row>
    <row r="43" spans="1:47">
      <c r="B43" s="291" t="s">
        <v>46</v>
      </c>
      <c r="C43" s="291"/>
      <c r="D43" s="291"/>
      <c r="E43" s="291"/>
      <c r="F43" s="291"/>
      <c r="G43" s="291"/>
      <c r="H43" s="291"/>
      <c r="I43" s="291"/>
      <c r="J43" s="291"/>
      <c r="K43" s="291"/>
      <c r="L43" s="291"/>
      <c r="M43" s="291"/>
      <c r="N43" s="291"/>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row>
    <row r="44" spans="1:47">
      <c r="B44" s="291">
        <v>2</v>
      </c>
      <c r="C44" s="291"/>
      <c r="D44" s="291"/>
      <c r="E44" s="288" t="s">
        <v>47</v>
      </c>
      <c r="F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8"/>
      <c r="AE44" s="291"/>
      <c r="AF44" s="291"/>
      <c r="AG44" s="291"/>
      <c r="AH44" s="291"/>
      <c r="AI44" s="291"/>
      <c r="AJ44" s="291"/>
      <c r="AK44" s="291" t="s">
        <v>24</v>
      </c>
      <c r="AL44" s="291"/>
      <c r="AM44" s="291"/>
      <c r="AN44" s="291"/>
      <c r="AO44" s="291"/>
      <c r="AP44" s="291"/>
      <c r="AQ44" s="291"/>
      <c r="AR44" s="291"/>
      <c r="AS44" s="291"/>
      <c r="AT44" s="291"/>
      <c r="AU44" s="291"/>
    </row>
    <row r="45" spans="1:47" ht="25.5" customHeight="1">
      <c r="A45" s="9"/>
      <c r="B45" s="284" t="s">
        <v>7</v>
      </c>
      <c r="C45" s="284"/>
      <c r="D45" s="284"/>
      <c r="E45" s="300" t="s">
        <v>48</v>
      </c>
      <c r="F45" s="300"/>
      <c r="G45" s="300"/>
      <c r="H45" s="300"/>
      <c r="I45" s="300"/>
      <c r="J45" s="300"/>
      <c r="K45" s="300"/>
      <c r="L45" s="300"/>
      <c r="M45" s="300"/>
      <c r="N45" s="300"/>
      <c r="O45" s="300"/>
      <c r="P45" s="300"/>
      <c r="Q45" s="300"/>
      <c r="R45" s="300"/>
      <c r="S45" s="300"/>
      <c r="T45" s="300"/>
      <c r="U45" s="300"/>
      <c r="V45" s="300"/>
      <c r="W45" s="300"/>
      <c r="X45" s="300"/>
      <c r="Y45" s="300"/>
      <c r="Z45" s="300"/>
      <c r="AA45" s="300"/>
      <c r="AB45" s="300"/>
      <c r="AC45" s="300"/>
      <c r="AD45" s="300"/>
      <c r="AE45" s="304"/>
      <c r="AF45" s="304"/>
      <c r="AG45" s="304"/>
      <c r="AH45" s="304"/>
      <c r="AI45" s="304"/>
      <c r="AJ45" s="304"/>
      <c r="AK45" s="297">
        <v>71</v>
      </c>
      <c r="AL45" s="297"/>
      <c r="AM45" s="297"/>
      <c r="AN45" s="297"/>
      <c r="AO45" s="297"/>
      <c r="AP45" s="297"/>
      <c r="AQ45" s="297"/>
      <c r="AR45" s="297"/>
      <c r="AS45" s="297"/>
      <c r="AT45" s="297"/>
      <c r="AU45" s="297"/>
    </row>
    <row r="46" spans="1:47" ht="33" customHeight="1">
      <c r="B46" s="284" t="s">
        <v>9</v>
      </c>
      <c r="C46" s="284"/>
      <c r="D46" s="284"/>
      <c r="E46" s="300" t="s">
        <v>49</v>
      </c>
      <c r="F46" s="300"/>
      <c r="G46" s="300"/>
      <c r="H46" s="300"/>
      <c r="I46" s="300"/>
      <c r="J46" s="300"/>
      <c r="K46" s="300"/>
      <c r="L46" s="300"/>
      <c r="M46" s="300"/>
      <c r="N46" s="300"/>
      <c r="O46" s="300"/>
      <c r="P46" s="300"/>
      <c r="Q46" s="300"/>
      <c r="R46" s="300"/>
      <c r="S46" s="300"/>
      <c r="T46" s="300"/>
      <c r="U46" s="300"/>
      <c r="V46" s="300"/>
      <c r="W46" s="300"/>
      <c r="X46" s="300"/>
      <c r="Y46" s="300"/>
      <c r="Z46" s="300"/>
      <c r="AA46" s="300"/>
      <c r="AB46" s="300"/>
      <c r="AC46" s="300"/>
      <c r="AD46" s="300"/>
      <c r="AE46" s="284"/>
      <c r="AF46" s="284"/>
      <c r="AG46" s="284"/>
      <c r="AH46" s="284"/>
      <c r="AI46" s="284"/>
      <c r="AJ46" s="284"/>
      <c r="AK46" s="297">
        <v>220</v>
      </c>
      <c r="AL46" s="297"/>
      <c r="AM46" s="297"/>
      <c r="AN46" s="297"/>
      <c r="AO46" s="297"/>
      <c r="AP46" s="297"/>
      <c r="AQ46" s="297"/>
      <c r="AR46" s="297"/>
      <c r="AS46" s="297"/>
      <c r="AT46" s="297"/>
      <c r="AU46" s="297"/>
    </row>
    <row r="47" spans="1:47" ht="12.75" customHeight="1">
      <c r="B47" s="284" t="s">
        <v>11</v>
      </c>
      <c r="C47" s="284"/>
      <c r="D47" s="284"/>
      <c r="E47" s="300" t="s">
        <v>50</v>
      </c>
      <c r="F47" s="300"/>
      <c r="G47" s="300"/>
      <c r="H47" s="300"/>
      <c r="I47" s="300"/>
      <c r="J47" s="300"/>
      <c r="K47" s="300"/>
      <c r="L47" s="300"/>
      <c r="M47" s="300"/>
      <c r="N47" s="300"/>
      <c r="O47" s="300"/>
      <c r="P47" s="300"/>
      <c r="Q47" s="300"/>
      <c r="R47" s="300"/>
      <c r="S47" s="300"/>
      <c r="T47" s="300"/>
      <c r="U47" s="300"/>
      <c r="V47" s="300"/>
      <c r="W47" s="300"/>
      <c r="X47" s="300"/>
      <c r="Y47" s="300"/>
      <c r="Z47" s="300"/>
      <c r="AA47" s="300"/>
      <c r="AB47" s="300"/>
      <c r="AC47" s="300"/>
      <c r="AD47" s="300"/>
      <c r="AE47" s="284"/>
      <c r="AF47" s="284"/>
      <c r="AG47" s="284"/>
      <c r="AH47" s="284"/>
      <c r="AI47" s="284"/>
      <c r="AJ47" s="284"/>
      <c r="AK47" s="297">
        <v>125</v>
      </c>
      <c r="AL47" s="297"/>
      <c r="AM47" s="297"/>
      <c r="AN47" s="297"/>
      <c r="AO47" s="297"/>
      <c r="AP47" s="297"/>
      <c r="AQ47" s="297"/>
      <c r="AR47" s="297"/>
      <c r="AS47" s="297"/>
      <c r="AT47" s="297"/>
      <c r="AU47" s="297"/>
    </row>
    <row r="48" spans="1:47" ht="24.75" customHeight="1">
      <c r="B48" s="284" t="s">
        <v>13</v>
      </c>
      <c r="C48" s="284"/>
      <c r="D48" s="284"/>
      <c r="E48" s="300" t="s">
        <v>51</v>
      </c>
      <c r="F48" s="300"/>
      <c r="G48" s="300"/>
      <c r="H48" s="300"/>
      <c r="I48" s="300"/>
      <c r="J48" s="300"/>
      <c r="K48" s="300"/>
      <c r="L48" s="300"/>
      <c r="M48" s="300"/>
      <c r="N48" s="300"/>
      <c r="O48" s="300"/>
      <c r="P48" s="300"/>
      <c r="Q48" s="300"/>
      <c r="R48" s="300"/>
      <c r="S48" s="300"/>
      <c r="T48" s="300"/>
      <c r="U48" s="300"/>
      <c r="V48" s="300"/>
      <c r="W48" s="300"/>
      <c r="X48" s="300"/>
      <c r="Y48" s="300"/>
      <c r="Z48" s="300"/>
      <c r="AA48" s="300"/>
      <c r="AB48" s="300"/>
      <c r="AC48" s="300"/>
      <c r="AD48" s="300"/>
      <c r="AE48" s="284"/>
      <c r="AF48" s="284"/>
      <c r="AG48" s="284"/>
      <c r="AH48" s="284"/>
      <c r="AI48" s="284"/>
      <c r="AJ48" s="284"/>
      <c r="AK48" s="297">
        <v>1.17</v>
      </c>
      <c r="AL48" s="297"/>
      <c r="AM48" s="297"/>
      <c r="AN48" s="297"/>
      <c r="AO48" s="297"/>
      <c r="AP48" s="297"/>
      <c r="AQ48" s="297"/>
      <c r="AR48" s="297"/>
      <c r="AS48" s="297"/>
      <c r="AT48" s="297"/>
      <c r="AU48" s="297"/>
    </row>
    <row r="49" spans="2:47" ht="12.75" customHeight="1">
      <c r="B49" s="284" t="s">
        <v>37</v>
      </c>
      <c r="C49" s="284"/>
      <c r="D49" s="284"/>
      <c r="E49" s="300" t="s">
        <v>52</v>
      </c>
      <c r="F49" s="300"/>
      <c r="G49" s="300"/>
      <c r="H49" s="300"/>
      <c r="I49" s="300"/>
      <c r="J49" s="300"/>
      <c r="K49" s="300"/>
      <c r="L49" s="300"/>
      <c r="M49" s="300"/>
      <c r="N49" s="300"/>
      <c r="O49" s="300"/>
      <c r="P49" s="300"/>
      <c r="Q49" s="300"/>
      <c r="R49" s="300"/>
      <c r="S49" s="300"/>
      <c r="T49" s="300"/>
      <c r="U49" s="300"/>
      <c r="V49" s="300"/>
      <c r="W49" s="300"/>
      <c r="X49" s="300"/>
      <c r="Y49" s="300"/>
      <c r="Z49" s="300"/>
      <c r="AA49" s="300"/>
      <c r="AB49" s="300"/>
      <c r="AC49" s="300"/>
      <c r="AD49" s="300"/>
      <c r="AE49" s="284"/>
      <c r="AF49" s="284"/>
      <c r="AG49" s="284"/>
      <c r="AH49" s="284"/>
      <c r="AI49" s="284"/>
      <c r="AJ49" s="284"/>
      <c r="AK49" s="297">
        <v>91.67</v>
      </c>
      <c r="AL49" s="297"/>
      <c r="AM49" s="297"/>
      <c r="AN49" s="297"/>
      <c r="AO49" s="297"/>
      <c r="AP49" s="297"/>
      <c r="AQ49" s="297"/>
      <c r="AR49" s="297"/>
      <c r="AS49" s="297"/>
      <c r="AT49" s="297"/>
      <c r="AU49" s="297"/>
    </row>
    <row r="50" spans="2:47" ht="26.25" customHeight="1">
      <c r="B50" s="284" t="s">
        <v>39</v>
      </c>
      <c r="C50" s="284"/>
      <c r="D50" s="284"/>
      <c r="E50" s="300" t="s">
        <v>53</v>
      </c>
      <c r="F50" s="300"/>
      <c r="G50" s="300"/>
      <c r="H50" s="300"/>
      <c r="I50" s="300"/>
      <c r="J50" s="300"/>
      <c r="K50" s="300"/>
      <c r="L50" s="300"/>
      <c r="M50" s="300"/>
      <c r="N50" s="300"/>
      <c r="O50" s="300"/>
      <c r="P50" s="300"/>
      <c r="Q50" s="300"/>
      <c r="R50" s="300"/>
      <c r="S50" s="300"/>
      <c r="T50" s="300"/>
      <c r="U50" s="300"/>
      <c r="V50" s="300"/>
      <c r="W50" s="300"/>
      <c r="X50" s="300"/>
      <c r="Y50" s="300"/>
      <c r="Z50" s="300"/>
      <c r="AA50" s="300"/>
      <c r="AB50" s="300"/>
      <c r="AC50" s="300"/>
      <c r="AD50" s="300"/>
      <c r="AE50" s="284"/>
      <c r="AF50" s="284"/>
      <c r="AG50" s="284"/>
      <c r="AH50" s="284"/>
      <c r="AI50" s="284"/>
      <c r="AJ50" s="284"/>
      <c r="AK50" s="297">
        <v>0.9</v>
      </c>
      <c r="AL50" s="297"/>
      <c r="AM50" s="297"/>
      <c r="AN50" s="297"/>
      <c r="AO50" s="297"/>
      <c r="AP50" s="297"/>
      <c r="AQ50" s="297"/>
      <c r="AR50" s="297"/>
      <c r="AS50" s="297"/>
      <c r="AT50" s="297"/>
      <c r="AU50" s="297"/>
    </row>
    <row r="51" spans="2:47">
      <c r="B51" s="302" t="s">
        <v>54</v>
      </c>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2"/>
      <c r="AE51" s="302"/>
      <c r="AF51" s="302"/>
      <c r="AG51" s="302"/>
      <c r="AH51" s="302"/>
      <c r="AI51" s="302"/>
      <c r="AJ51" s="302"/>
      <c r="AK51" s="303">
        <f>ROUND(SUM(AK45:AU50),2)</f>
        <v>509.74</v>
      </c>
      <c r="AL51" s="303"/>
      <c r="AM51" s="303"/>
      <c r="AN51" s="303"/>
      <c r="AO51" s="303"/>
      <c r="AP51" s="303"/>
      <c r="AQ51" s="303"/>
      <c r="AR51" s="303"/>
      <c r="AS51" s="303"/>
      <c r="AT51" s="303"/>
      <c r="AU51" s="303"/>
    </row>
    <row r="53" spans="2:47">
      <c r="B53" s="291" t="s">
        <v>55</v>
      </c>
      <c r="C53" s="291"/>
      <c r="D53" s="291"/>
      <c r="E53" s="291"/>
      <c r="F53" s="291"/>
      <c r="G53" s="291"/>
      <c r="H53" s="291"/>
      <c r="I53" s="291"/>
      <c r="J53" s="291"/>
      <c r="K53" s="291"/>
      <c r="L53" s="291"/>
      <c r="M53" s="291"/>
      <c r="N53" s="291"/>
      <c r="O53" s="291"/>
      <c r="P53" s="291"/>
      <c r="Q53" s="291"/>
      <c r="R53" s="291"/>
      <c r="S53" s="291"/>
      <c r="T53" s="291"/>
      <c r="U53" s="291"/>
      <c r="V53" s="291"/>
      <c r="W53" s="291"/>
      <c r="X53" s="291"/>
      <c r="Y53" s="291"/>
      <c r="Z53" s="291"/>
      <c r="AA53" s="291"/>
      <c r="AB53" s="291"/>
      <c r="AC53" s="291"/>
      <c r="AD53" s="291"/>
      <c r="AE53" s="291"/>
      <c r="AF53" s="291"/>
      <c r="AG53" s="291"/>
      <c r="AH53" s="291"/>
      <c r="AI53" s="291"/>
      <c r="AJ53" s="291"/>
      <c r="AK53" s="291"/>
      <c r="AL53" s="291"/>
      <c r="AM53" s="291"/>
      <c r="AN53" s="291"/>
      <c r="AO53" s="291"/>
      <c r="AP53" s="291"/>
      <c r="AQ53" s="291"/>
      <c r="AR53" s="291"/>
      <c r="AS53" s="291"/>
      <c r="AT53" s="291"/>
      <c r="AU53" s="291"/>
    </row>
    <row r="54" spans="2:47">
      <c r="B54" s="291">
        <v>3</v>
      </c>
      <c r="C54" s="291"/>
      <c r="D54" s="291"/>
      <c r="E54" s="288" t="s">
        <v>56</v>
      </c>
      <c r="F54" s="288"/>
      <c r="G54" s="288"/>
      <c r="H54" s="288"/>
      <c r="I54" s="288"/>
      <c r="J54" s="288"/>
      <c r="K54" s="288"/>
      <c r="L54" s="288"/>
      <c r="M54" s="288"/>
      <c r="N54" s="288"/>
      <c r="O54" s="288"/>
      <c r="P54" s="288"/>
      <c r="Q54" s="288"/>
      <c r="R54" s="288"/>
      <c r="S54" s="288"/>
      <c r="T54" s="288"/>
      <c r="U54" s="288"/>
      <c r="V54" s="288"/>
      <c r="W54" s="288"/>
      <c r="X54" s="288"/>
      <c r="Y54" s="288"/>
      <c r="Z54" s="288"/>
      <c r="AA54" s="288"/>
      <c r="AB54" s="288"/>
      <c r="AC54" s="288"/>
      <c r="AD54" s="288"/>
      <c r="AE54" s="291"/>
      <c r="AF54" s="291"/>
      <c r="AG54" s="291"/>
      <c r="AH54" s="291"/>
      <c r="AI54" s="291"/>
      <c r="AJ54" s="291"/>
      <c r="AK54" s="291" t="s">
        <v>24</v>
      </c>
      <c r="AL54" s="291"/>
      <c r="AM54" s="291"/>
      <c r="AN54" s="291"/>
      <c r="AO54" s="291"/>
      <c r="AP54" s="291"/>
      <c r="AQ54" s="291"/>
      <c r="AR54" s="291"/>
      <c r="AS54" s="291"/>
      <c r="AT54" s="291"/>
      <c r="AU54" s="291"/>
    </row>
    <row r="55" spans="2:47">
      <c r="B55" s="284" t="s">
        <v>7</v>
      </c>
      <c r="C55" s="284"/>
      <c r="D55" s="284"/>
      <c r="E55" s="295" t="s">
        <v>57</v>
      </c>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84" t="s">
        <v>58</v>
      </c>
      <c r="AF55" s="284"/>
      <c r="AG55" s="284"/>
      <c r="AH55" s="284"/>
      <c r="AI55" s="284"/>
      <c r="AJ55" s="284"/>
      <c r="AK55" s="297">
        <v>27.2</v>
      </c>
      <c r="AL55" s="297"/>
      <c r="AM55" s="297"/>
      <c r="AN55" s="297"/>
      <c r="AO55" s="297"/>
      <c r="AP55" s="297"/>
      <c r="AQ55" s="297"/>
      <c r="AR55" s="297"/>
      <c r="AS55" s="297"/>
      <c r="AT55" s="297"/>
      <c r="AU55" s="297"/>
    </row>
    <row r="56" spans="2:47">
      <c r="B56" s="284" t="s">
        <v>9</v>
      </c>
      <c r="C56" s="284"/>
      <c r="D56" s="284"/>
      <c r="E56" s="295" t="s">
        <v>59</v>
      </c>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84" t="s">
        <v>58</v>
      </c>
      <c r="AF56" s="284"/>
      <c r="AG56" s="284"/>
      <c r="AH56" s="284"/>
      <c r="AI56" s="284"/>
      <c r="AJ56" s="284"/>
      <c r="AK56" s="297">
        <v>165</v>
      </c>
      <c r="AL56" s="297"/>
      <c r="AM56" s="297"/>
      <c r="AN56" s="297"/>
      <c r="AO56" s="297"/>
      <c r="AP56" s="297"/>
      <c r="AQ56" s="297"/>
      <c r="AR56" s="297"/>
      <c r="AS56" s="297"/>
      <c r="AT56" s="297"/>
      <c r="AU56" s="297"/>
    </row>
    <row r="57" spans="2:47">
      <c r="B57" s="284" t="s">
        <v>11</v>
      </c>
      <c r="C57" s="284"/>
      <c r="D57" s="284"/>
      <c r="E57" s="295" t="s">
        <v>60</v>
      </c>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84" t="s">
        <v>58</v>
      </c>
      <c r="AF57" s="284"/>
      <c r="AG57" s="284"/>
      <c r="AH57" s="284"/>
      <c r="AI57" s="284"/>
      <c r="AJ57" s="284"/>
      <c r="AK57" s="297">
        <v>20</v>
      </c>
      <c r="AL57" s="297"/>
      <c r="AM57" s="297"/>
      <c r="AN57" s="297"/>
      <c r="AO57" s="297"/>
      <c r="AP57" s="297"/>
      <c r="AQ57" s="297"/>
      <c r="AR57" s="297"/>
      <c r="AS57" s="297"/>
      <c r="AT57" s="297"/>
      <c r="AU57" s="297"/>
    </row>
    <row r="58" spans="2:47">
      <c r="B58" s="284" t="s">
        <v>13</v>
      </c>
      <c r="C58" s="284"/>
      <c r="D58" s="284"/>
      <c r="E58" s="295" t="s">
        <v>61</v>
      </c>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84" t="s">
        <v>58</v>
      </c>
      <c r="AF58" s="284"/>
      <c r="AG58" s="284"/>
      <c r="AH58" s="284"/>
      <c r="AI58" s="284"/>
      <c r="AJ58" s="284"/>
      <c r="AK58" s="297">
        <v>0</v>
      </c>
      <c r="AL58" s="297"/>
      <c r="AM58" s="297"/>
      <c r="AN58" s="297"/>
      <c r="AO58" s="297"/>
      <c r="AP58" s="297"/>
      <c r="AQ58" s="297"/>
      <c r="AR58" s="297"/>
      <c r="AS58" s="297"/>
      <c r="AT58" s="297"/>
      <c r="AU58" s="297"/>
    </row>
    <row r="59" spans="2:47">
      <c r="B59" s="302" t="s">
        <v>62</v>
      </c>
      <c r="C59" s="302"/>
      <c r="D59" s="302"/>
      <c r="E59" s="302"/>
      <c r="F59" s="302"/>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2"/>
      <c r="AE59" s="302"/>
      <c r="AF59" s="302"/>
      <c r="AG59" s="302"/>
      <c r="AH59" s="302"/>
      <c r="AI59" s="302"/>
      <c r="AJ59" s="302"/>
      <c r="AK59" s="303">
        <f>ROUND(SUM(AK55:AU58),2)</f>
        <v>212.2</v>
      </c>
      <c r="AL59" s="303"/>
      <c r="AM59" s="303"/>
      <c r="AN59" s="303"/>
      <c r="AO59" s="303"/>
      <c r="AP59" s="303"/>
      <c r="AQ59" s="303"/>
      <c r="AR59" s="303"/>
      <c r="AS59" s="303"/>
      <c r="AT59" s="303"/>
      <c r="AU59" s="303"/>
    </row>
    <row r="61" spans="2:47">
      <c r="B61" s="291" t="s">
        <v>63</v>
      </c>
      <c r="C61" s="291"/>
      <c r="D61" s="291"/>
      <c r="E61" s="291"/>
      <c r="F61" s="29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1"/>
      <c r="AE61" s="291"/>
      <c r="AF61" s="291"/>
      <c r="AG61" s="291"/>
      <c r="AH61" s="291"/>
      <c r="AI61" s="291"/>
      <c r="AJ61" s="291"/>
      <c r="AK61" s="291"/>
      <c r="AL61" s="291"/>
      <c r="AM61" s="291"/>
      <c r="AN61" s="291"/>
      <c r="AO61" s="291"/>
      <c r="AP61" s="291"/>
      <c r="AQ61" s="291"/>
      <c r="AR61" s="291"/>
      <c r="AS61" s="291"/>
      <c r="AT61" s="291"/>
      <c r="AU61" s="291"/>
    </row>
    <row r="62" spans="2:47">
      <c r="B62" s="288" t="s">
        <v>64</v>
      </c>
      <c r="C62" s="288"/>
      <c r="D62" s="288"/>
      <c r="E62" s="288"/>
      <c r="F62" s="288"/>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8"/>
      <c r="AE62" s="288"/>
      <c r="AF62" s="288"/>
      <c r="AG62" s="288"/>
      <c r="AH62" s="288"/>
      <c r="AI62" s="288"/>
      <c r="AJ62" s="288"/>
      <c r="AK62" s="288"/>
      <c r="AL62" s="288"/>
      <c r="AM62" s="288"/>
      <c r="AN62" s="288"/>
      <c r="AO62" s="288"/>
      <c r="AP62" s="288"/>
      <c r="AQ62" s="288"/>
      <c r="AR62" s="288"/>
      <c r="AS62" s="288"/>
      <c r="AT62" s="288"/>
      <c r="AU62" s="288"/>
    </row>
    <row r="63" spans="2:47">
      <c r="B63" s="291" t="s">
        <v>65</v>
      </c>
      <c r="C63" s="291"/>
      <c r="D63" s="291"/>
      <c r="E63" s="288" t="s">
        <v>66</v>
      </c>
      <c r="F63" s="288"/>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8"/>
      <c r="AE63" s="291" t="s">
        <v>31</v>
      </c>
      <c r="AF63" s="291"/>
      <c r="AG63" s="291"/>
      <c r="AH63" s="291"/>
      <c r="AI63" s="291"/>
      <c r="AJ63" s="291"/>
      <c r="AK63" s="291" t="s">
        <v>24</v>
      </c>
      <c r="AL63" s="291"/>
      <c r="AM63" s="291"/>
      <c r="AN63" s="291"/>
      <c r="AO63" s="291"/>
      <c r="AP63" s="291"/>
      <c r="AQ63" s="291"/>
      <c r="AR63" s="291"/>
      <c r="AS63" s="291"/>
      <c r="AT63" s="291"/>
      <c r="AU63" s="291"/>
    </row>
    <row r="64" spans="2:47">
      <c r="B64" s="305" t="s">
        <v>7</v>
      </c>
      <c r="C64" s="305"/>
      <c r="D64" s="305"/>
      <c r="E64" s="306" t="s">
        <v>67</v>
      </c>
      <c r="F64" s="30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6"/>
      <c r="AE64" s="307">
        <v>0.2</v>
      </c>
      <c r="AF64" s="307"/>
      <c r="AG64" s="307"/>
      <c r="AH64" s="307"/>
      <c r="AI64" s="307"/>
      <c r="AJ64" s="307"/>
      <c r="AK64" s="308">
        <f t="shared" ref="AK64:AK71" si="0">ROUND(AE64*$AK$41,2)</f>
        <v>234</v>
      </c>
      <c r="AL64" s="308"/>
      <c r="AM64" s="308"/>
      <c r="AN64" s="308"/>
      <c r="AO64" s="308"/>
      <c r="AP64" s="308"/>
      <c r="AQ64" s="308"/>
      <c r="AR64" s="308"/>
      <c r="AS64" s="308"/>
      <c r="AT64" s="308"/>
      <c r="AU64" s="308"/>
    </row>
    <row r="65" spans="1:47">
      <c r="B65" s="305" t="s">
        <v>9</v>
      </c>
      <c r="C65" s="305"/>
      <c r="D65" s="305"/>
      <c r="E65" s="306" t="s">
        <v>68</v>
      </c>
      <c r="F65" s="306"/>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6"/>
      <c r="AE65" s="309">
        <f>IF($J$5=1,0,IF(OR($J$5=2,$J$5=3),0.015,0))</f>
        <v>0</v>
      </c>
      <c r="AF65" s="309"/>
      <c r="AG65" s="309"/>
      <c r="AH65" s="309"/>
      <c r="AI65" s="309"/>
      <c r="AJ65" s="309"/>
      <c r="AK65" s="308">
        <f t="shared" si="0"/>
        <v>0</v>
      </c>
      <c r="AL65" s="308"/>
      <c r="AM65" s="308"/>
      <c r="AN65" s="308"/>
      <c r="AO65" s="308"/>
      <c r="AP65" s="308"/>
      <c r="AQ65" s="308"/>
      <c r="AR65" s="308"/>
      <c r="AS65" s="308"/>
      <c r="AT65" s="308"/>
      <c r="AU65" s="308"/>
    </row>
    <row r="66" spans="1:47">
      <c r="B66" s="305" t="s">
        <v>11</v>
      </c>
      <c r="C66" s="305"/>
      <c r="D66" s="305"/>
      <c r="E66" s="306" t="s">
        <v>69</v>
      </c>
      <c r="F66" s="306"/>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6"/>
      <c r="AE66" s="309">
        <f>IF($J$5=1,0,IF(OR($J$5=2,$J$5=3),0.01,0))</f>
        <v>0</v>
      </c>
      <c r="AF66" s="309"/>
      <c r="AG66" s="309"/>
      <c r="AH66" s="309"/>
      <c r="AI66" s="309"/>
      <c r="AJ66" s="309"/>
      <c r="AK66" s="308">
        <f t="shared" si="0"/>
        <v>0</v>
      </c>
      <c r="AL66" s="308"/>
      <c r="AM66" s="308"/>
      <c r="AN66" s="308"/>
      <c r="AO66" s="308"/>
      <c r="AP66" s="308"/>
      <c r="AQ66" s="308"/>
      <c r="AR66" s="308"/>
      <c r="AS66" s="308"/>
      <c r="AT66" s="308"/>
      <c r="AU66" s="308"/>
    </row>
    <row r="67" spans="1:47">
      <c r="B67" s="305" t="s">
        <v>13</v>
      </c>
      <c r="C67" s="305"/>
      <c r="D67" s="305"/>
      <c r="E67" s="306" t="s">
        <v>70</v>
      </c>
      <c r="F67" s="306"/>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6"/>
      <c r="AE67" s="309">
        <f>IF($J$5=1,0,IF(OR($J$5=2,$J$5=3),0.002,0))</f>
        <v>0</v>
      </c>
      <c r="AF67" s="309"/>
      <c r="AG67" s="309"/>
      <c r="AH67" s="309"/>
      <c r="AI67" s="309"/>
      <c r="AJ67" s="309"/>
      <c r="AK67" s="308">
        <f t="shared" si="0"/>
        <v>0</v>
      </c>
      <c r="AL67" s="308"/>
      <c r="AM67" s="308"/>
      <c r="AN67" s="308"/>
      <c r="AO67" s="308"/>
      <c r="AP67" s="308"/>
      <c r="AQ67" s="308"/>
      <c r="AR67" s="308"/>
      <c r="AS67" s="308"/>
      <c r="AT67" s="308"/>
      <c r="AU67" s="308"/>
    </row>
    <row r="68" spans="1:47">
      <c r="B68" s="305" t="s">
        <v>37</v>
      </c>
      <c r="C68" s="305"/>
      <c r="D68" s="305"/>
      <c r="E68" s="306" t="s">
        <v>71</v>
      </c>
      <c r="F68" s="306"/>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6"/>
      <c r="AE68" s="309">
        <f>IF($J$5=1,0,IF(OR($J$5=2,$J$5=3),0.025,0))</f>
        <v>0</v>
      </c>
      <c r="AF68" s="309"/>
      <c r="AG68" s="309"/>
      <c r="AH68" s="309"/>
      <c r="AI68" s="309"/>
      <c r="AJ68" s="309"/>
      <c r="AK68" s="308">
        <f t="shared" si="0"/>
        <v>0</v>
      </c>
      <c r="AL68" s="308"/>
      <c r="AM68" s="308"/>
      <c r="AN68" s="308"/>
      <c r="AO68" s="308"/>
      <c r="AP68" s="308"/>
      <c r="AQ68" s="308"/>
      <c r="AR68" s="308"/>
      <c r="AS68" s="308"/>
      <c r="AT68" s="308"/>
      <c r="AU68" s="308"/>
    </row>
    <row r="69" spans="1:47">
      <c r="B69" s="305" t="s">
        <v>39</v>
      </c>
      <c r="C69" s="305"/>
      <c r="D69" s="305"/>
      <c r="E69" s="306" t="s">
        <v>72</v>
      </c>
      <c r="F69" s="30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6"/>
      <c r="AE69" s="307">
        <v>0.08</v>
      </c>
      <c r="AF69" s="307"/>
      <c r="AG69" s="307"/>
      <c r="AH69" s="307"/>
      <c r="AI69" s="307"/>
      <c r="AJ69" s="307"/>
      <c r="AK69" s="308">
        <f t="shared" si="0"/>
        <v>93.6</v>
      </c>
      <c r="AL69" s="308"/>
      <c r="AM69" s="308"/>
      <c r="AN69" s="308"/>
      <c r="AO69" s="308"/>
      <c r="AP69" s="308"/>
      <c r="AQ69" s="308"/>
      <c r="AR69" s="308"/>
      <c r="AS69" s="308"/>
      <c r="AT69" s="308"/>
      <c r="AU69" s="308"/>
    </row>
    <row r="70" spans="1:47" ht="13.5" customHeight="1">
      <c r="A70" s="9"/>
      <c r="B70" s="305" t="s">
        <v>41</v>
      </c>
      <c r="C70" s="305"/>
      <c r="D70" s="305"/>
      <c r="E70" s="310" t="s">
        <v>73</v>
      </c>
      <c r="F70" s="310"/>
      <c r="G70" s="310"/>
      <c r="H70" s="310"/>
      <c r="I70" s="310"/>
      <c r="J70" s="310"/>
      <c r="K70" s="310"/>
      <c r="L70" s="310"/>
      <c r="M70" s="310"/>
      <c r="N70" s="310"/>
      <c r="O70" s="310"/>
      <c r="P70" s="310"/>
      <c r="Q70" s="310"/>
      <c r="R70" s="310"/>
      <c r="S70" s="310"/>
      <c r="T70" s="310"/>
      <c r="U70" s="310"/>
      <c r="V70" s="310"/>
      <c r="W70" s="310"/>
      <c r="X70" s="310"/>
      <c r="Y70" s="310"/>
      <c r="Z70" s="310"/>
      <c r="AA70" s="310"/>
      <c r="AB70" s="310"/>
      <c r="AC70" s="310"/>
      <c r="AD70" s="310"/>
      <c r="AE70" s="298">
        <v>0.03</v>
      </c>
      <c r="AF70" s="298"/>
      <c r="AG70" s="298"/>
      <c r="AH70" s="298"/>
      <c r="AI70" s="298"/>
      <c r="AJ70" s="298"/>
      <c r="AK70" s="308">
        <f t="shared" si="0"/>
        <v>35.1</v>
      </c>
      <c r="AL70" s="308"/>
      <c r="AM70" s="308"/>
      <c r="AN70" s="308"/>
      <c r="AO70" s="308"/>
      <c r="AP70" s="308"/>
      <c r="AQ70" s="308"/>
      <c r="AR70" s="308"/>
      <c r="AS70" s="308"/>
      <c r="AT70" s="308"/>
      <c r="AU70" s="308"/>
    </row>
    <row r="71" spans="1:47">
      <c r="B71" s="305" t="s">
        <v>43</v>
      </c>
      <c r="C71" s="305"/>
      <c r="D71" s="305"/>
      <c r="E71" s="306" t="s">
        <v>74</v>
      </c>
      <c r="F71" s="306"/>
      <c r="G71" s="306"/>
      <c r="H71" s="306"/>
      <c r="I71" s="306"/>
      <c r="J71" s="306"/>
      <c r="K71" s="306"/>
      <c r="L71" s="306"/>
      <c r="M71" s="306"/>
      <c r="N71" s="306"/>
      <c r="O71" s="306"/>
      <c r="P71" s="306"/>
      <c r="Q71" s="306"/>
      <c r="R71" s="306"/>
      <c r="S71" s="306"/>
      <c r="T71" s="306"/>
      <c r="U71" s="306"/>
      <c r="V71" s="306"/>
      <c r="W71" s="306"/>
      <c r="X71" s="306"/>
      <c r="Y71" s="306"/>
      <c r="Z71" s="306"/>
      <c r="AA71" s="306"/>
      <c r="AB71" s="306"/>
      <c r="AC71" s="306"/>
      <c r="AD71" s="306"/>
      <c r="AE71" s="309">
        <f>IF($J$5=1,0,IF(OR($J$5=2,$J$5=3),0.006,0))</f>
        <v>0</v>
      </c>
      <c r="AF71" s="309"/>
      <c r="AG71" s="309"/>
      <c r="AH71" s="309"/>
      <c r="AI71" s="309"/>
      <c r="AJ71" s="309"/>
      <c r="AK71" s="308">
        <f t="shared" si="0"/>
        <v>0</v>
      </c>
      <c r="AL71" s="308"/>
      <c r="AM71" s="308"/>
      <c r="AN71" s="308"/>
      <c r="AO71" s="308"/>
      <c r="AP71" s="308"/>
      <c r="AQ71" s="308"/>
      <c r="AR71" s="308"/>
      <c r="AS71" s="308"/>
      <c r="AT71" s="308"/>
      <c r="AU71" s="308"/>
    </row>
    <row r="72" spans="1:47">
      <c r="B72" s="311" t="s">
        <v>75</v>
      </c>
      <c r="C72" s="311"/>
      <c r="D72" s="311"/>
      <c r="E72" s="311"/>
      <c r="F72" s="311"/>
      <c r="G72" s="311"/>
      <c r="H72" s="311"/>
      <c r="I72" s="311"/>
      <c r="J72" s="311"/>
      <c r="K72" s="311"/>
      <c r="L72" s="311"/>
      <c r="M72" s="311"/>
      <c r="N72" s="311"/>
      <c r="O72" s="311"/>
      <c r="P72" s="311"/>
      <c r="Q72" s="311"/>
      <c r="R72" s="311"/>
      <c r="S72" s="311"/>
      <c r="T72" s="311"/>
      <c r="U72" s="311"/>
      <c r="V72" s="311"/>
      <c r="W72" s="311"/>
      <c r="X72" s="311"/>
      <c r="Y72" s="311"/>
      <c r="Z72" s="311"/>
      <c r="AA72" s="311"/>
      <c r="AB72" s="311"/>
      <c r="AC72" s="311"/>
      <c r="AD72" s="311"/>
      <c r="AE72" s="312">
        <f>SUM(AE64:AJ71)</f>
        <v>0.31000000000000005</v>
      </c>
      <c r="AF72" s="312"/>
      <c r="AG72" s="312"/>
      <c r="AH72" s="312"/>
      <c r="AI72" s="312"/>
      <c r="AJ72" s="312"/>
      <c r="AK72" s="313">
        <f>ROUND(SUM(AK64:AU71),2)</f>
        <v>362.7</v>
      </c>
      <c r="AL72" s="313"/>
      <c r="AM72" s="313"/>
      <c r="AN72" s="313"/>
      <c r="AO72" s="313"/>
      <c r="AP72" s="313"/>
      <c r="AQ72" s="313"/>
      <c r="AR72" s="313"/>
      <c r="AS72" s="313"/>
      <c r="AT72" s="313"/>
      <c r="AU72" s="313"/>
    </row>
    <row r="74" spans="1:47">
      <c r="B74" s="288" t="s">
        <v>76</v>
      </c>
      <c r="C74" s="288"/>
      <c r="D74" s="288"/>
      <c r="E74" s="288"/>
      <c r="F74" s="288"/>
      <c r="G74" s="288"/>
      <c r="H74" s="288"/>
      <c r="I74" s="288"/>
      <c r="J74" s="288"/>
      <c r="K74" s="288"/>
      <c r="L74" s="288"/>
      <c r="M74" s="288"/>
      <c r="N74" s="288"/>
      <c r="O74" s="288"/>
      <c r="P74" s="288"/>
      <c r="Q74" s="288"/>
      <c r="R74" s="288"/>
      <c r="S74" s="288"/>
      <c r="T74" s="288"/>
      <c r="U74" s="288"/>
      <c r="V74" s="288"/>
      <c r="W74" s="288"/>
      <c r="X74" s="288"/>
      <c r="Y74" s="288"/>
      <c r="Z74" s="288"/>
      <c r="AA74" s="288"/>
      <c r="AB74" s="288"/>
      <c r="AC74" s="288"/>
      <c r="AD74" s="288"/>
      <c r="AE74" s="288"/>
      <c r="AF74" s="288"/>
      <c r="AG74" s="288"/>
      <c r="AH74" s="288"/>
      <c r="AI74" s="288"/>
      <c r="AJ74" s="288"/>
      <c r="AK74" s="288"/>
      <c r="AL74" s="288"/>
      <c r="AM74" s="288"/>
      <c r="AN74" s="288"/>
      <c r="AO74" s="288"/>
      <c r="AP74" s="288"/>
      <c r="AQ74" s="288"/>
      <c r="AR74" s="288"/>
      <c r="AS74" s="288"/>
      <c r="AT74" s="288"/>
      <c r="AU74" s="288"/>
    </row>
    <row r="75" spans="1:47">
      <c r="B75" s="291" t="s">
        <v>77</v>
      </c>
      <c r="C75" s="291"/>
      <c r="D75" s="291"/>
      <c r="E75" s="288" t="s">
        <v>78</v>
      </c>
      <c r="F75" s="288"/>
      <c r="G75" s="288"/>
      <c r="H75" s="288"/>
      <c r="I75" s="288"/>
      <c r="J75" s="288"/>
      <c r="K75" s="288"/>
      <c r="L75" s="288"/>
      <c r="M75" s="288"/>
      <c r="N75" s="288"/>
      <c r="O75" s="288"/>
      <c r="P75" s="288"/>
      <c r="Q75" s="288"/>
      <c r="R75" s="288"/>
      <c r="S75" s="288"/>
      <c r="T75" s="288"/>
      <c r="U75" s="288"/>
      <c r="V75" s="288"/>
      <c r="W75" s="288"/>
      <c r="X75" s="288"/>
      <c r="Y75" s="288"/>
      <c r="Z75" s="288"/>
      <c r="AA75" s="288"/>
      <c r="AB75" s="288"/>
      <c r="AC75" s="288"/>
      <c r="AD75" s="288"/>
      <c r="AE75" s="291" t="s">
        <v>31</v>
      </c>
      <c r="AF75" s="291"/>
      <c r="AG75" s="291"/>
      <c r="AH75" s="291"/>
      <c r="AI75" s="291"/>
      <c r="AJ75" s="291"/>
      <c r="AK75" s="291" t="s">
        <v>24</v>
      </c>
      <c r="AL75" s="291"/>
      <c r="AM75" s="291"/>
      <c r="AN75" s="291"/>
      <c r="AO75" s="291"/>
      <c r="AP75" s="291"/>
      <c r="AQ75" s="291"/>
      <c r="AR75" s="291"/>
      <c r="AS75" s="291"/>
      <c r="AT75" s="291"/>
      <c r="AU75" s="291"/>
    </row>
    <row r="76" spans="1:47">
      <c r="B76" s="305" t="s">
        <v>7</v>
      </c>
      <c r="C76" s="305"/>
      <c r="D76" s="305"/>
      <c r="E76" s="306" t="s">
        <v>79</v>
      </c>
      <c r="F76" s="306"/>
      <c r="G76" s="306"/>
      <c r="H76" s="306"/>
      <c r="I76" s="306"/>
      <c r="J76" s="306"/>
      <c r="K76" s="306"/>
      <c r="L76" s="306"/>
      <c r="M76" s="306"/>
      <c r="N76" s="306"/>
      <c r="O76" s="306"/>
      <c r="P76" s="306"/>
      <c r="Q76" s="306"/>
      <c r="R76" s="306"/>
      <c r="S76" s="306"/>
      <c r="T76" s="306"/>
      <c r="U76" s="306"/>
      <c r="V76" s="306"/>
      <c r="W76" s="306"/>
      <c r="X76" s="306"/>
      <c r="Y76" s="306"/>
      <c r="Z76" s="306"/>
      <c r="AA76" s="306"/>
      <c r="AB76" s="306"/>
      <c r="AC76" s="306"/>
      <c r="AD76" s="306"/>
      <c r="AE76" s="307">
        <f>1/12</f>
        <v>8.3333333333333329E-2</v>
      </c>
      <c r="AF76" s="307"/>
      <c r="AG76" s="307"/>
      <c r="AH76" s="307"/>
      <c r="AI76" s="307"/>
      <c r="AJ76" s="307"/>
      <c r="AK76" s="308">
        <f>ROUND(AE76*$AK$41,2)</f>
        <v>97.5</v>
      </c>
      <c r="AL76" s="308"/>
      <c r="AM76" s="308"/>
      <c r="AN76" s="308"/>
      <c r="AO76" s="308"/>
      <c r="AP76" s="308"/>
      <c r="AQ76" s="308"/>
      <c r="AR76" s="308"/>
      <c r="AS76" s="308"/>
      <c r="AT76" s="308"/>
      <c r="AU76" s="308"/>
    </row>
    <row r="77" spans="1:47">
      <c r="B77" s="305" t="s">
        <v>9</v>
      </c>
      <c r="C77" s="305"/>
      <c r="D77" s="305"/>
      <c r="E77" s="306" t="s">
        <v>80</v>
      </c>
      <c r="F77" s="306"/>
      <c r="G77" s="306"/>
      <c r="H77" s="306"/>
      <c r="I77" s="306"/>
      <c r="J77" s="306"/>
      <c r="K77" s="306"/>
      <c r="L77" s="306"/>
      <c r="M77" s="306"/>
      <c r="N77" s="306"/>
      <c r="O77" s="306"/>
      <c r="P77" s="306"/>
      <c r="Q77" s="306"/>
      <c r="R77" s="306"/>
      <c r="S77" s="306"/>
      <c r="T77" s="306"/>
      <c r="U77" s="306"/>
      <c r="V77" s="306"/>
      <c r="W77" s="306"/>
      <c r="X77" s="306"/>
      <c r="Y77" s="306"/>
      <c r="Z77" s="306"/>
      <c r="AA77" s="306"/>
      <c r="AB77" s="306"/>
      <c r="AC77" s="306"/>
      <c r="AD77" s="306"/>
      <c r="AE77" s="307">
        <f>1/36</f>
        <v>2.7777777777777776E-2</v>
      </c>
      <c r="AF77" s="307"/>
      <c r="AG77" s="307"/>
      <c r="AH77" s="307"/>
      <c r="AI77" s="307"/>
      <c r="AJ77" s="307"/>
      <c r="AK77" s="308">
        <f>ROUND(AE77*$AK$41,2)</f>
        <v>32.5</v>
      </c>
      <c r="AL77" s="308"/>
      <c r="AM77" s="308"/>
      <c r="AN77" s="308"/>
      <c r="AO77" s="308"/>
      <c r="AP77" s="308"/>
      <c r="AQ77" s="308"/>
      <c r="AR77" s="308"/>
      <c r="AS77" s="308"/>
      <c r="AT77" s="308"/>
      <c r="AU77" s="308"/>
    </row>
    <row r="78" spans="1:47">
      <c r="B78" s="314" t="s">
        <v>81</v>
      </c>
      <c r="C78" s="314"/>
      <c r="D78" s="314"/>
      <c r="E78" s="314"/>
      <c r="F78" s="314"/>
      <c r="G78" s="314"/>
      <c r="H78" s="314"/>
      <c r="I78" s="314"/>
      <c r="J78" s="314"/>
      <c r="K78" s="314"/>
      <c r="L78" s="314"/>
      <c r="M78" s="314"/>
      <c r="N78" s="314"/>
      <c r="O78" s="314"/>
      <c r="P78" s="314"/>
      <c r="Q78" s="314"/>
      <c r="R78" s="314"/>
      <c r="S78" s="314"/>
      <c r="T78" s="314"/>
      <c r="U78" s="314"/>
      <c r="V78" s="314"/>
      <c r="W78" s="314"/>
      <c r="X78" s="314"/>
      <c r="Y78" s="314"/>
      <c r="Z78" s="314"/>
      <c r="AA78" s="314"/>
      <c r="AB78" s="314"/>
      <c r="AC78" s="314"/>
      <c r="AD78" s="314"/>
      <c r="AE78" s="315">
        <f>SUM(AE76:AJ77)</f>
        <v>0.1111111111111111</v>
      </c>
      <c r="AF78" s="315"/>
      <c r="AG78" s="315"/>
      <c r="AH78" s="315"/>
      <c r="AI78" s="315"/>
      <c r="AJ78" s="315"/>
      <c r="AK78" s="316">
        <f>ROUND(SUM(AK76:AU77),2)</f>
        <v>130</v>
      </c>
      <c r="AL78" s="316"/>
      <c r="AM78" s="316"/>
      <c r="AN78" s="316"/>
      <c r="AO78" s="316"/>
      <c r="AP78" s="316"/>
      <c r="AQ78" s="316"/>
      <c r="AR78" s="316"/>
      <c r="AS78" s="316"/>
      <c r="AT78" s="316"/>
      <c r="AU78" s="316"/>
    </row>
    <row r="79" spans="1:47">
      <c r="B79" s="305" t="s">
        <v>11</v>
      </c>
      <c r="C79" s="305"/>
      <c r="D79" s="305"/>
      <c r="E79" s="306" t="s">
        <v>82</v>
      </c>
      <c r="F79" s="306"/>
      <c r="G79" s="306"/>
      <c r="H79" s="306"/>
      <c r="I79" s="306"/>
      <c r="J79" s="306"/>
      <c r="K79" s="306"/>
      <c r="L79" s="306"/>
      <c r="M79" s="306"/>
      <c r="N79" s="306"/>
      <c r="O79" s="306"/>
      <c r="P79" s="306"/>
      <c r="Q79" s="306"/>
      <c r="R79" s="306"/>
      <c r="S79" s="306"/>
      <c r="T79" s="306"/>
      <c r="U79" s="306"/>
      <c r="V79" s="306"/>
      <c r="W79" s="306"/>
      <c r="X79" s="306"/>
      <c r="Y79" s="306"/>
      <c r="Z79" s="306"/>
      <c r="AA79" s="306"/>
      <c r="AB79" s="306"/>
      <c r="AC79" s="306"/>
      <c r="AD79" s="306"/>
      <c r="AE79" s="307">
        <f>AE72*AE78</f>
        <v>3.4444444444444451E-2</v>
      </c>
      <c r="AF79" s="307"/>
      <c r="AG79" s="307"/>
      <c r="AH79" s="307"/>
      <c r="AI79" s="307"/>
      <c r="AJ79" s="307"/>
      <c r="AK79" s="308">
        <f>ROUND(AE79*$AK$41,2)</f>
        <v>40.299999999999997</v>
      </c>
      <c r="AL79" s="308"/>
      <c r="AM79" s="308"/>
      <c r="AN79" s="308"/>
      <c r="AO79" s="308"/>
      <c r="AP79" s="308"/>
      <c r="AQ79" s="308"/>
      <c r="AR79" s="308"/>
      <c r="AS79" s="308"/>
      <c r="AT79" s="308"/>
      <c r="AU79" s="308"/>
    </row>
    <row r="80" spans="1:47">
      <c r="B80" s="311" t="s">
        <v>75</v>
      </c>
      <c r="C80" s="311"/>
      <c r="D80" s="311"/>
      <c r="E80" s="311"/>
      <c r="F80" s="311"/>
      <c r="G80" s="311"/>
      <c r="H80" s="311"/>
      <c r="I80" s="311"/>
      <c r="J80" s="311"/>
      <c r="K80" s="311"/>
      <c r="L80" s="311"/>
      <c r="M80" s="311"/>
      <c r="N80" s="311"/>
      <c r="O80" s="311"/>
      <c r="P80" s="311"/>
      <c r="Q80" s="311"/>
      <c r="R80" s="311"/>
      <c r="S80" s="311"/>
      <c r="T80" s="311"/>
      <c r="U80" s="311"/>
      <c r="V80" s="311"/>
      <c r="W80" s="311"/>
      <c r="X80" s="311"/>
      <c r="Y80" s="311"/>
      <c r="Z80" s="311"/>
      <c r="AA80" s="311"/>
      <c r="AB80" s="311"/>
      <c r="AC80" s="311"/>
      <c r="AD80" s="311"/>
      <c r="AE80" s="312">
        <f>AE78+AE79</f>
        <v>0.14555555555555555</v>
      </c>
      <c r="AF80" s="312"/>
      <c r="AG80" s="312"/>
      <c r="AH80" s="312"/>
      <c r="AI80" s="312"/>
      <c r="AJ80" s="312"/>
      <c r="AK80" s="313">
        <f>ROUND(AK78+AK79,2)</f>
        <v>170.3</v>
      </c>
      <c r="AL80" s="313"/>
      <c r="AM80" s="313"/>
      <c r="AN80" s="313"/>
      <c r="AO80" s="313"/>
      <c r="AP80" s="313"/>
      <c r="AQ80" s="313"/>
      <c r="AR80" s="313"/>
      <c r="AS80" s="313"/>
      <c r="AT80" s="313"/>
      <c r="AU80" s="313"/>
    </row>
    <row r="82" spans="2:47">
      <c r="B82" s="288" t="s">
        <v>83</v>
      </c>
      <c r="C82" s="288"/>
      <c r="D82" s="288"/>
      <c r="E82" s="288"/>
      <c r="F82" s="288"/>
      <c r="G82" s="288"/>
      <c r="H82" s="288"/>
      <c r="I82" s="288"/>
      <c r="J82" s="288"/>
      <c r="K82" s="288"/>
      <c r="L82" s="288"/>
      <c r="M82" s="288"/>
      <c r="N82" s="288"/>
      <c r="O82" s="288"/>
      <c r="P82" s="288"/>
      <c r="Q82" s="288"/>
      <c r="R82" s="288"/>
      <c r="S82" s="288"/>
      <c r="T82" s="288"/>
      <c r="U82" s="288"/>
      <c r="V82" s="288"/>
      <c r="W82" s="288"/>
      <c r="X82" s="288"/>
      <c r="Y82" s="288"/>
      <c r="Z82" s="288"/>
      <c r="AA82" s="288"/>
      <c r="AB82" s="288"/>
      <c r="AC82" s="288"/>
      <c r="AD82" s="288"/>
      <c r="AE82" s="288"/>
      <c r="AF82" s="288"/>
      <c r="AG82" s="288"/>
      <c r="AH82" s="288"/>
      <c r="AI82" s="288"/>
      <c r="AJ82" s="288"/>
      <c r="AK82" s="288"/>
      <c r="AL82" s="288"/>
      <c r="AM82" s="288"/>
      <c r="AN82" s="288"/>
      <c r="AO82" s="288"/>
      <c r="AP82" s="288"/>
      <c r="AQ82" s="288"/>
      <c r="AR82" s="288"/>
      <c r="AS82" s="288"/>
      <c r="AT82" s="288"/>
      <c r="AU82" s="288"/>
    </row>
    <row r="83" spans="2:47">
      <c r="B83" s="291" t="s">
        <v>84</v>
      </c>
      <c r="C83" s="291"/>
      <c r="D83" s="291"/>
      <c r="E83" s="288" t="s">
        <v>85</v>
      </c>
      <c r="F83" s="288"/>
      <c r="G83" s="288"/>
      <c r="H83" s="288"/>
      <c r="I83" s="288"/>
      <c r="J83" s="288"/>
      <c r="K83" s="288"/>
      <c r="L83" s="288"/>
      <c r="M83" s="288"/>
      <c r="N83" s="288"/>
      <c r="O83" s="288"/>
      <c r="P83" s="288"/>
      <c r="Q83" s="288"/>
      <c r="R83" s="288"/>
      <c r="S83" s="288"/>
      <c r="T83" s="288"/>
      <c r="U83" s="288"/>
      <c r="V83" s="288"/>
      <c r="W83" s="288"/>
      <c r="X83" s="288"/>
      <c r="Y83" s="288"/>
      <c r="Z83" s="288"/>
      <c r="AA83" s="288"/>
      <c r="AB83" s="288"/>
      <c r="AC83" s="288"/>
      <c r="AD83" s="288"/>
      <c r="AE83" s="291" t="s">
        <v>31</v>
      </c>
      <c r="AF83" s="291"/>
      <c r="AG83" s="291"/>
      <c r="AH83" s="291"/>
      <c r="AI83" s="291"/>
      <c r="AJ83" s="291"/>
      <c r="AK83" s="291" t="s">
        <v>24</v>
      </c>
      <c r="AL83" s="291"/>
      <c r="AM83" s="291"/>
      <c r="AN83" s="291"/>
      <c r="AO83" s="291"/>
      <c r="AP83" s="291"/>
      <c r="AQ83" s="291"/>
      <c r="AR83" s="291"/>
      <c r="AS83" s="291"/>
      <c r="AT83" s="291"/>
      <c r="AU83" s="291"/>
    </row>
    <row r="84" spans="2:47" ht="37.5" customHeight="1">
      <c r="B84" s="284" t="s">
        <v>7</v>
      </c>
      <c r="C84" s="284"/>
      <c r="D84" s="284"/>
      <c r="E84" s="300" t="s">
        <v>86</v>
      </c>
      <c r="F84" s="300"/>
      <c r="G84" s="300"/>
      <c r="H84" s="300"/>
      <c r="I84" s="300"/>
      <c r="J84" s="300"/>
      <c r="K84" s="300"/>
      <c r="L84" s="300"/>
      <c r="M84" s="300"/>
      <c r="N84" s="300"/>
      <c r="O84" s="300"/>
      <c r="P84" s="300"/>
      <c r="Q84" s="300"/>
      <c r="R84" s="300"/>
      <c r="S84" s="300"/>
      <c r="T84" s="300"/>
      <c r="U84" s="300"/>
      <c r="V84" s="300"/>
      <c r="W84" s="300"/>
      <c r="X84" s="300"/>
      <c r="Y84" s="300"/>
      <c r="Z84" s="300"/>
      <c r="AA84" s="300"/>
      <c r="AB84" s="300"/>
      <c r="AC84" s="300"/>
      <c r="AD84" s="300"/>
      <c r="AE84" s="317">
        <v>0.02</v>
      </c>
      <c r="AF84" s="317"/>
      <c r="AG84" s="317"/>
      <c r="AH84" s="317"/>
      <c r="AI84" s="317"/>
      <c r="AJ84" s="317"/>
      <c r="AK84" s="299">
        <f>ROUND((((($AK$41/3+$AK$41)*(4/12))/12)*AE84),2)</f>
        <v>0.87</v>
      </c>
      <c r="AL84" s="299"/>
      <c r="AM84" s="299"/>
      <c r="AN84" s="299"/>
      <c r="AO84" s="299"/>
      <c r="AP84" s="299"/>
      <c r="AQ84" s="299"/>
      <c r="AR84" s="299"/>
      <c r="AS84" s="299"/>
      <c r="AT84" s="299"/>
      <c r="AU84" s="299"/>
    </row>
    <row r="85" spans="2:47" ht="18" customHeight="1">
      <c r="B85" s="284" t="s">
        <v>9</v>
      </c>
      <c r="C85" s="284"/>
      <c r="D85" s="284"/>
      <c r="E85" s="295" t="s">
        <v>87</v>
      </c>
      <c r="F85" s="295"/>
      <c r="G85" s="295"/>
      <c r="H85" s="295"/>
      <c r="I85" s="295"/>
      <c r="J85" s="295"/>
      <c r="K85" s="295"/>
      <c r="L85" s="295"/>
      <c r="M85" s="295"/>
      <c r="N85" s="295"/>
      <c r="O85" s="295"/>
      <c r="P85" s="295"/>
      <c r="Q85" s="295"/>
      <c r="R85" s="295"/>
      <c r="S85" s="295"/>
      <c r="T85" s="295"/>
      <c r="U85" s="295"/>
      <c r="V85" s="295"/>
      <c r="W85" s="295"/>
      <c r="X85" s="295"/>
      <c r="Y85" s="295"/>
      <c r="Z85" s="295"/>
      <c r="AA85" s="295"/>
      <c r="AB85" s="295"/>
      <c r="AC85" s="295"/>
      <c r="AD85" s="295"/>
      <c r="AE85" s="296">
        <f>AE72</f>
        <v>0.31000000000000005</v>
      </c>
      <c r="AF85" s="296"/>
      <c r="AG85" s="296"/>
      <c r="AH85" s="296"/>
      <c r="AI85" s="296"/>
      <c r="AJ85" s="296"/>
      <c r="AK85" s="299">
        <f>ROUND(AE85*AK84,2)</f>
        <v>0.27</v>
      </c>
      <c r="AL85" s="299"/>
      <c r="AM85" s="299"/>
      <c r="AN85" s="299"/>
      <c r="AO85" s="299"/>
      <c r="AP85" s="299"/>
      <c r="AQ85" s="299"/>
      <c r="AR85" s="299"/>
      <c r="AS85" s="299"/>
      <c r="AT85" s="299"/>
      <c r="AU85" s="299"/>
    </row>
    <row r="86" spans="2:47" ht="30" customHeight="1">
      <c r="B86" s="284" t="s">
        <v>88</v>
      </c>
      <c r="C86" s="284"/>
      <c r="D86" s="284"/>
      <c r="E86" s="300" t="s">
        <v>89</v>
      </c>
      <c r="F86" s="300"/>
      <c r="G86" s="300"/>
      <c r="H86" s="300"/>
      <c r="I86" s="300"/>
      <c r="J86" s="300"/>
      <c r="K86" s="300"/>
      <c r="L86" s="300"/>
      <c r="M86" s="300"/>
      <c r="N86" s="300"/>
      <c r="O86" s="300"/>
      <c r="P86" s="300"/>
      <c r="Q86" s="300"/>
      <c r="R86" s="300"/>
      <c r="S86" s="300"/>
      <c r="T86" s="300"/>
      <c r="U86" s="300"/>
      <c r="V86" s="300"/>
      <c r="W86" s="300"/>
      <c r="X86" s="300"/>
      <c r="Y86" s="300"/>
      <c r="Z86" s="300"/>
      <c r="AA86" s="300"/>
      <c r="AB86" s="300"/>
      <c r="AC86" s="300"/>
      <c r="AD86" s="300"/>
      <c r="AE86" s="318">
        <f>AE85*AE84</f>
        <v>6.2000000000000015E-3</v>
      </c>
      <c r="AF86" s="318"/>
      <c r="AG86" s="318"/>
      <c r="AH86" s="318"/>
      <c r="AI86" s="318"/>
      <c r="AJ86" s="318"/>
      <c r="AK86" s="299">
        <f>ROUND(((AK41+AK76)*(4/12)*AE86),2)</f>
        <v>2.62</v>
      </c>
      <c r="AL86" s="299"/>
      <c r="AM86" s="299"/>
      <c r="AN86" s="299"/>
      <c r="AO86" s="299"/>
      <c r="AP86" s="299"/>
      <c r="AQ86" s="299"/>
      <c r="AR86" s="299"/>
      <c r="AS86" s="299"/>
      <c r="AT86" s="299"/>
      <c r="AU86" s="299"/>
    </row>
    <row r="87" spans="2:47" ht="12.75" customHeight="1">
      <c r="B87" s="319" t="s">
        <v>75</v>
      </c>
      <c r="C87" s="319"/>
      <c r="D87" s="319"/>
      <c r="E87" s="319"/>
      <c r="F87" s="319"/>
      <c r="G87" s="319"/>
      <c r="H87" s="319"/>
      <c r="I87" s="319"/>
      <c r="J87" s="319"/>
      <c r="K87" s="319"/>
      <c r="L87" s="319"/>
      <c r="M87" s="319"/>
      <c r="N87" s="319"/>
      <c r="O87" s="319"/>
      <c r="P87" s="319"/>
      <c r="Q87" s="319"/>
      <c r="R87" s="319"/>
      <c r="S87" s="319"/>
      <c r="T87" s="319"/>
      <c r="U87" s="319"/>
      <c r="V87" s="319"/>
      <c r="W87" s="319"/>
      <c r="X87" s="319"/>
      <c r="Y87" s="319"/>
      <c r="Z87" s="319"/>
      <c r="AA87" s="319"/>
      <c r="AB87" s="319"/>
      <c r="AC87" s="319"/>
      <c r="AD87" s="319"/>
      <c r="AE87" s="312">
        <f>SUM(AE84:AJ86)</f>
        <v>0.33620000000000005</v>
      </c>
      <c r="AF87" s="312"/>
      <c r="AG87" s="312"/>
      <c r="AH87" s="312"/>
      <c r="AI87" s="312"/>
      <c r="AJ87" s="312"/>
      <c r="AK87" s="313">
        <f>ROUND(SUM(AK84:AU86),2)</f>
        <v>3.76</v>
      </c>
      <c r="AL87" s="313"/>
      <c r="AM87" s="313"/>
      <c r="AN87" s="313"/>
      <c r="AO87" s="313"/>
      <c r="AP87" s="313"/>
      <c r="AQ87" s="313"/>
      <c r="AR87" s="313"/>
      <c r="AS87" s="313"/>
      <c r="AT87" s="313"/>
      <c r="AU87" s="313"/>
    </row>
    <row r="89" spans="2:47">
      <c r="B89" s="288" t="s">
        <v>90</v>
      </c>
      <c r="C89" s="288"/>
      <c r="D89" s="288"/>
      <c r="E89" s="288"/>
      <c r="F89" s="288"/>
      <c r="G89" s="288"/>
      <c r="H89" s="288"/>
      <c r="I89" s="288"/>
      <c r="J89" s="288"/>
      <c r="K89" s="288"/>
      <c r="L89" s="288"/>
      <c r="M89" s="288"/>
      <c r="N89" s="288"/>
      <c r="O89" s="288"/>
      <c r="P89" s="288"/>
      <c r="Q89" s="288"/>
      <c r="R89" s="288"/>
      <c r="S89" s="288"/>
      <c r="T89" s="288"/>
      <c r="U89" s="288"/>
      <c r="V89" s="288"/>
      <c r="W89" s="288"/>
      <c r="X89" s="288"/>
      <c r="Y89" s="288"/>
      <c r="Z89" s="288"/>
      <c r="AA89" s="288"/>
      <c r="AB89" s="288"/>
      <c r="AC89" s="288"/>
      <c r="AD89" s="288"/>
      <c r="AE89" s="288"/>
      <c r="AF89" s="288"/>
      <c r="AG89" s="288"/>
      <c r="AH89" s="288"/>
      <c r="AI89" s="288"/>
      <c r="AJ89" s="288"/>
      <c r="AK89" s="288"/>
      <c r="AL89" s="288"/>
      <c r="AM89" s="288"/>
      <c r="AN89" s="288"/>
      <c r="AO89" s="288"/>
      <c r="AP89" s="288"/>
      <c r="AQ89" s="288"/>
      <c r="AR89" s="288"/>
      <c r="AS89" s="288"/>
      <c r="AT89" s="288"/>
      <c r="AU89" s="288"/>
    </row>
    <row r="90" spans="2:47">
      <c r="B90" s="291" t="s">
        <v>91</v>
      </c>
      <c r="C90" s="291"/>
      <c r="D90" s="291"/>
      <c r="E90" s="288" t="s">
        <v>92</v>
      </c>
      <c r="F90" s="288"/>
      <c r="G90" s="288"/>
      <c r="H90" s="288"/>
      <c r="I90" s="288"/>
      <c r="J90" s="288"/>
      <c r="K90" s="288"/>
      <c r="L90" s="288"/>
      <c r="M90" s="288"/>
      <c r="N90" s="288"/>
      <c r="O90" s="288"/>
      <c r="P90" s="288"/>
      <c r="Q90" s="288"/>
      <c r="R90" s="288"/>
      <c r="S90" s="288"/>
      <c r="T90" s="288"/>
      <c r="U90" s="288"/>
      <c r="V90" s="288"/>
      <c r="W90" s="288"/>
      <c r="X90" s="288"/>
      <c r="Y90" s="288"/>
      <c r="Z90" s="288"/>
      <c r="AA90" s="288"/>
      <c r="AB90" s="288"/>
      <c r="AC90" s="288"/>
      <c r="AD90" s="288"/>
      <c r="AE90" s="291" t="s">
        <v>31</v>
      </c>
      <c r="AF90" s="291"/>
      <c r="AG90" s="291"/>
      <c r="AH90" s="291"/>
      <c r="AI90" s="291"/>
      <c r="AJ90" s="291"/>
      <c r="AK90" s="291" t="s">
        <v>24</v>
      </c>
      <c r="AL90" s="291"/>
      <c r="AM90" s="291"/>
      <c r="AN90" s="291"/>
      <c r="AO90" s="291"/>
      <c r="AP90" s="291"/>
      <c r="AQ90" s="291"/>
      <c r="AR90" s="291"/>
      <c r="AS90" s="291"/>
      <c r="AT90" s="291"/>
      <c r="AU90" s="291"/>
    </row>
    <row r="91" spans="2:47" ht="26.25" customHeight="1">
      <c r="B91" s="305" t="s">
        <v>7</v>
      </c>
      <c r="C91" s="305"/>
      <c r="D91" s="305"/>
      <c r="E91" s="310" t="s">
        <v>93</v>
      </c>
      <c r="F91" s="310"/>
      <c r="G91" s="310"/>
      <c r="H91" s="310"/>
      <c r="I91" s="310"/>
      <c r="J91" s="310"/>
      <c r="K91" s="310"/>
      <c r="L91" s="310"/>
      <c r="M91" s="310"/>
      <c r="N91" s="310"/>
      <c r="O91" s="310"/>
      <c r="P91" s="310"/>
      <c r="Q91" s="310"/>
      <c r="R91" s="310"/>
      <c r="S91" s="310"/>
      <c r="T91" s="310"/>
      <c r="U91" s="310"/>
      <c r="V91" s="310"/>
      <c r="W91" s="310"/>
      <c r="X91" s="310"/>
      <c r="Y91" s="310"/>
      <c r="Z91" s="310"/>
      <c r="AA91" s="310"/>
      <c r="AB91" s="310"/>
      <c r="AC91" s="310"/>
      <c r="AD91" s="310"/>
      <c r="AE91" s="298">
        <v>0.55000000000000004</v>
      </c>
      <c r="AF91" s="298"/>
      <c r="AG91" s="298"/>
      <c r="AH91" s="298"/>
      <c r="AI91" s="298"/>
      <c r="AJ91" s="298"/>
      <c r="AK91" s="308">
        <f>ROUND(((AE91*$AK$41)/12),2)</f>
        <v>53.63</v>
      </c>
      <c r="AL91" s="308"/>
      <c r="AM91" s="308"/>
      <c r="AN91" s="308"/>
      <c r="AO91" s="308"/>
      <c r="AP91" s="308"/>
      <c r="AQ91" s="308"/>
      <c r="AR91" s="308"/>
      <c r="AS91" s="308"/>
      <c r="AT91" s="308"/>
      <c r="AU91" s="308"/>
    </row>
    <row r="92" spans="2:47" ht="12.75" customHeight="1">
      <c r="B92" s="305" t="s">
        <v>9</v>
      </c>
      <c r="C92" s="305"/>
      <c r="D92" s="305"/>
      <c r="E92" s="310" t="s">
        <v>94</v>
      </c>
      <c r="F92" s="310"/>
      <c r="G92" s="310"/>
      <c r="H92" s="310"/>
      <c r="I92" s="310"/>
      <c r="J92" s="310"/>
      <c r="K92" s="310"/>
      <c r="L92" s="310"/>
      <c r="M92" s="310"/>
      <c r="N92" s="310"/>
      <c r="O92" s="310"/>
      <c r="P92" s="310"/>
      <c r="Q92" s="310"/>
      <c r="R92" s="310"/>
      <c r="S92" s="310"/>
      <c r="T92" s="310"/>
      <c r="U92" s="310"/>
      <c r="V92" s="310"/>
      <c r="W92" s="310"/>
      <c r="X92" s="310"/>
      <c r="Y92" s="310"/>
      <c r="Z92" s="310"/>
      <c r="AA92" s="310"/>
      <c r="AB92" s="310"/>
      <c r="AC92" s="310"/>
      <c r="AD92" s="310"/>
      <c r="AE92" s="307">
        <v>0.08</v>
      </c>
      <c r="AF92" s="307"/>
      <c r="AG92" s="307"/>
      <c r="AH92" s="307"/>
      <c r="AI92" s="307"/>
      <c r="AJ92" s="307"/>
      <c r="AK92" s="308">
        <f>ROUND((AE92*AK91),2)</f>
        <v>4.29</v>
      </c>
      <c r="AL92" s="308"/>
      <c r="AM92" s="308"/>
      <c r="AN92" s="308"/>
      <c r="AO92" s="308"/>
      <c r="AP92" s="308"/>
      <c r="AQ92" s="308"/>
      <c r="AR92" s="308"/>
      <c r="AS92" s="308"/>
      <c r="AT92" s="308"/>
      <c r="AU92" s="308"/>
    </row>
    <row r="93" spans="2:47" ht="39" customHeight="1">
      <c r="B93" s="305" t="s">
        <v>11</v>
      </c>
      <c r="C93" s="305"/>
      <c r="D93" s="305"/>
      <c r="E93" s="310" t="s">
        <v>95</v>
      </c>
      <c r="F93" s="310"/>
      <c r="G93" s="310"/>
      <c r="H93" s="310"/>
      <c r="I93" s="310"/>
      <c r="J93" s="310"/>
      <c r="K93" s="310"/>
      <c r="L93" s="310"/>
      <c r="M93" s="310"/>
      <c r="N93" s="310"/>
      <c r="O93" s="310"/>
      <c r="P93" s="310"/>
      <c r="Q93" s="310"/>
      <c r="R93" s="310"/>
      <c r="S93" s="310"/>
      <c r="T93" s="310"/>
      <c r="U93" s="310"/>
      <c r="V93" s="310"/>
      <c r="W93" s="310"/>
      <c r="X93" s="310"/>
      <c r="Y93" s="310"/>
      <c r="Z93" s="310"/>
      <c r="AA93" s="310"/>
      <c r="AB93" s="310"/>
      <c r="AC93" s="310"/>
      <c r="AD93" s="310"/>
      <c r="AE93" s="298">
        <v>0.04</v>
      </c>
      <c r="AF93" s="298"/>
      <c r="AG93" s="298"/>
      <c r="AH93" s="298"/>
      <c r="AI93" s="298"/>
      <c r="AJ93" s="298"/>
      <c r="AK93" s="308">
        <f>ROUND((AE93*AE91*$AK$41),2)</f>
        <v>25.74</v>
      </c>
      <c r="AL93" s="308"/>
      <c r="AM93" s="308"/>
      <c r="AN93" s="308"/>
      <c r="AO93" s="308"/>
      <c r="AP93" s="308"/>
      <c r="AQ93" s="308"/>
      <c r="AR93" s="308"/>
      <c r="AS93" s="308"/>
      <c r="AT93" s="308"/>
      <c r="AU93" s="308"/>
    </row>
    <row r="94" spans="2:47" ht="28.5" customHeight="1">
      <c r="B94" s="305" t="s">
        <v>13</v>
      </c>
      <c r="C94" s="305"/>
      <c r="D94" s="305"/>
      <c r="E94" s="310" t="s">
        <v>96</v>
      </c>
      <c r="F94" s="310"/>
      <c r="G94" s="310"/>
      <c r="H94" s="310"/>
      <c r="I94" s="310"/>
      <c r="J94" s="310"/>
      <c r="K94" s="310"/>
      <c r="L94" s="310"/>
      <c r="M94" s="310"/>
      <c r="N94" s="310"/>
      <c r="O94" s="310"/>
      <c r="P94" s="310"/>
      <c r="Q94" s="310"/>
      <c r="R94" s="310"/>
      <c r="S94" s="310"/>
      <c r="T94" s="310"/>
      <c r="U94" s="310"/>
      <c r="V94" s="310"/>
      <c r="W94" s="310"/>
      <c r="X94" s="310"/>
      <c r="Y94" s="310"/>
      <c r="Z94" s="310"/>
      <c r="AA94" s="310"/>
      <c r="AB94" s="310"/>
      <c r="AC94" s="310"/>
      <c r="AD94" s="310"/>
      <c r="AE94" s="298">
        <v>0.05</v>
      </c>
      <c r="AF94" s="298"/>
      <c r="AG94" s="298"/>
      <c r="AH94" s="298"/>
      <c r="AI94" s="298"/>
      <c r="AJ94" s="298"/>
      <c r="AK94" s="308">
        <f>ROUND((($AK$41/30/12*7)*AE94),2)</f>
        <v>1.1399999999999999</v>
      </c>
      <c r="AL94" s="308"/>
      <c r="AM94" s="308"/>
      <c r="AN94" s="308"/>
      <c r="AO94" s="308"/>
      <c r="AP94" s="308"/>
      <c r="AQ94" s="308"/>
      <c r="AR94" s="308"/>
      <c r="AS94" s="308"/>
      <c r="AT94" s="308"/>
      <c r="AU94" s="308"/>
    </row>
    <row r="95" spans="2:47" ht="12.75" customHeight="1">
      <c r="B95" s="305" t="s">
        <v>37</v>
      </c>
      <c r="C95" s="305"/>
      <c r="D95" s="305"/>
      <c r="E95" s="310" t="s">
        <v>97</v>
      </c>
      <c r="F95" s="310"/>
      <c r="G95" s="310"/>
      <c r="H95" s="310"/>
      <c r="I95" s="310"/>
      <c r="J95" s="310"/>
      <c r="K95" s="310"/>
      <c r="L95" s="310"/>
      <c r="M95" s="310"/>
      <c r="N95" s="310"/>
      <c r="O95" s="310"/>
      <c r="P95" s="310"/>
      <c r="Q95" s="310"/>
      <c r="R95" s="310"/>
      <c r="S95" s="310"/>
      <c r="T95" s="310"/>
      <c r="U95" s="310"/>
      <c r="V95" s="310"/>
      <c r="W95" s="310"/>
      <c r="X95" s="310"/>
      <c r="Y95" s="310"/>
      <c r="Z95" s="310"/>
      <c r="AA95" s="310"/>
      <c r="AB95" s="310"/>
      <c r="AC95" s="310"/>
      <c r="AD95" s="310"/>
      <c r="AE95" s="307">
        <f>AE72</f>
        <v>0.31000000000000005</v>
      </c>
      <c r="AF95" s="307"/>
      <c r="AG95" s="307"/>
      <c r="AH95" s="307"/>
      <c r="AI95" s="307"/>
      <c r="AJ95" s="307"/>
      <c r="AK95" s="308">
        <f>ROUND((AK94*AE95),2)</f>
        <v>0.35</v>
      </c>
      <c r="AL95" s="308"/>
      <c r="AM95" s="308"/>
      <c r="AN95" s="308"/>
      <c r="AO95" s="308"/>
      <c r="AP95" s="308"/>
      <c r="AQ95" s="308"/>
      <c r="AR95" s="308"/>
      <c r="AS95" s="308"/>
      <c r="AT95" s="308"/>
      <c r="AU95" s="308"/>
    </row>
    <row r="96" spans="2:47" ht="39.75" customHeight="1">
      <c r="B96" s="305" t="s">
        <v>39</v>
      </c>
      <c r="C96" s="305"/>
      <c r="D96" s="305"/>
      <c r="E96" s="310" t="s">
        <v>98</v>
      </c>
      <c r="F96" s="310"/>
      <c r="G96" s="310"/>
      <c r="H96" s="310"/>
      <c r="I96" s="310"/>
      <c r="J96" s="310"/>
      <c r="K96" s="310"/>
      <c r="L96" s="310"/>
      <c r="M96" s="310"/>
      <c r="N96" s="310"/>
      <c r="O96" s="310"/>
      <c r="P96" s="310"/>
      <c r="Q96" s="310"/>
      <c r="R96" s="310"/>
      <c r="S96" s="310"/>
      <c r="T96" s="310"/>
      <c r="U96" s="310"/>
      <c r="V96" s="310"/>
      <c r="W96" s="310"/>
      <c r="X96" s="310"/>
      <c r="Y96" s="310"/>
      <c r="Z96" s="310"/>
      <c r="AA96" s="310"/>
      <c r="AB96" s="310"/>
      <c r="AC96" s="310"/>
      <c r="AD96" s="310"/>
      <c r="AE96" s="298">
        <v>0.04</v>
      </c>
      <c r="AF96" s="298"/>
      <c r="AG96" s="298"/>
      <c r="AH96" s="298"/>
      <c r="AI96" s="298"/>
      <c r="AJ96" s="298"/>
      <c r="AK96" s="308">
        <f>ROUND((AE96*AE94*$AK$41),2)</f>
        <v>2.34</v>
      </c>
      <c r="AL96" s="308"/>
      <c r="AM96" s="308"/>
      <c r="AN96" s="308"/>
      <c r="AO96" s="308"/>
      <c r="AP96" s="308"/>
      <c r="AQ96" s="308"/>
      <c r="AR96" s="308"/>
      <c r="AS96" s="308"/>
      <c r="AT96" s="308"/>
      <c r="AU96" s="308"/>
    </row>
    <row r="97" spans="2:47">
      <c r="B97" s="311" t="s">
        <v>75</v>
      </c>
      <c r="C97" s="311"/>
      <c r="D97" s="311"/>
      <c r="E97" s="311"/>
      <c r="F97" s="311"/>
      <c r="G97" s="311"/>
      <c r="H97" s="311"/>
      <c r="I97" s="311"/>
      <c r="J97" s="311"/>
      <c r="K97" s="311"/>
      <c r="L97" s="311"/>
      <c r="M97" s="311"/>
      <c r="N97" s="311"/>
      <c r="O97" s="311"/>
      <c r="P97" s="311"/>
      <c r="Q97" s="311"/>
      <c r="R97" s="311"/>
      <c r="S97" s="311"/>
      <c r="T97" s="311"/>
      <c r="U97" s="311"/>
      <c r="V97" s="311"/>
      <c r="W97" s="311"/>
      <c r="X97" s="311"/>
      <c r="Y97" s="311"/>
      <c r="Z97" s="311"/>
      <c r="AA97" s="311"/>
      <c r="AB97" s="311"/>
      <c r="AC97" s="311"/>
      <c r="AD97" s="311"/>
      <c r="AE97" s="312">
        <f>SUM(AE91:AJ96)</f>
        <v>1.0700000000000003</v>
      </c>
      <c r="AF97" s="312"/>
      <c r="AG97" s="312"/>
      <c r="AH97" s="312"/>
      <c r="AI97" s="312"/>
      <c r="AJ97" s="312"/>
      <c r="AK97" s="313">
        <f>ROUND(SUM(AK91:AU96),2)</f>
        <v>87.49</v>
      </c>
      <c r="AL97" s="313"/>
      <c r="AM97" s="313"/>
      <c r="AN97" s="313"/>
      <c r="AO97" s="313"/>
      <c r="AP97" s="313"/>
      <c r="AQ97" s="313"/>
      <c r="AR97" s="313"/>
      <c r="AS97" s="313"/>
      <c r="AT97" s="313"/>
      <c r="AU97" s="313"/>
    </row>
    <row r="99" spans="2:47">
      <c r="B99" s="288" t="s">
        <v>99</v>
      </c>
      <c r="C99" s="288"/>
      <c r="D99" s="288"/>
      <c r="E99" s="288"/>
      <c r="F99" s="288"/>
      <c r="G99" s="288"/>
      <c r="H99" s="288"/>
      <c r="I99" s="288"/>
      <c r="J99" s="288"/>
      <c r="K99" s="288"/>
      <c r="L99" s="288"/>
      <c r="M99" s="288"/>
      <c r="N99" s="288"/>
      <c r="O99" s="288"/>
      <c r="P99" s="288"/>
      <c r="Q99" s="288"/>
      <c r="R99" s="288"/>
      <c r="S99" s="288"/>
      <c r="T99" s="288"/>
      <c r="U99" s="288"/>
      <c r="V99" s="288"/>
      <c r="W99" s="288"/>
      <c r="X99" s="288"/>
      <c r="Y99" s="288"/>
      <c r="Z99" s="288"/>
      <c r="AA99" s="288"/>
      <c r="AB99" s="288"/>
      <c r="AC99" s="288"/>
      <c r="AD99" s="288"/>
      <c r="AE99" s="288"/>
      <c r="AF99" s="288"/>
      <c r="AG99" s="288"/>
      <c r="AH99" s="288"/>
      <c r="AI99" s="288"/>
      <c r="AJ99" s="288"/>
      <c r="AK99" s="288"/>
      <c r="AL99" s="288"/>
      <c r="AM99" s="288"/>
      <c r="AN99" s="288"/>
      <c r="AO99" s="288"/>
      <c r="AP99" s="288"/>
      <c r="AQ99" s="288"/>
      <c r="AR99" s="288"/>
      <c r="AS99" s="288"/>
      <c r="AT99" s="288"/>
      <c r="AU99" s="288"/>
    </row>
    <row r="100" spans="2:47">
      <c r="B100" s="291" t="s">
        <v>100</v>
      </c>
      <c r="C100" s="291"/>
      <c r="D100" s="291"/>
      <c r="E100" s="288" t="s">
        <v>101</v>
      </c>
      <c r="F100" s="288"/>
      <c r="G100" s="288"/>
      <c r="H100" s="288"/>
      <c r="I100" s="288"/>
      <c r="J100" s="288"/>
      <c r="K100" s="288"/>
      <c r="L100" s="288"/>
      <c r="M100" s="288"/>
      <c r="N100" s="288"/>
      <c r="O100" s="288"/>
      <c r="P100" s="288"/>
      <c r="Q100" s="288"/>
      <c r="R100" s="288"/>
      <c r="S100" s="288"/>
      <c r="T100" s="288"/>
      <c r="U100" s="288"/>
      <c r="V100" s="288"/>
      <c r="W100" s="288"/>
      <c r="X100" s="288"/>
      <c r="Y100" s="288"/>
      <c r="Z100" s="288"/>
      <c r="AA100" s="288"/>
      <c r="AB100" s="288"/>
      <c r="AC100" s="288"/>
      <c r="AD100" s="288"/>
      <c r="AE100" s="291" t="s">
        <v>31</v>
      </c>
      <c r="AF100" s="291"/>
      <c r="AG100" s="291"/>
      <c r="AH100" s="291"/>
      <c r="AI100" s="291"/>
      <c r="AJ100" s="291"/>
      <c r="AK100" s="291" t="s">
        <v>24</v>
      </c>
      <c r="AL100" s="291"/>
      <c r="AM100" s="291"/>
      <c r="AN100" s="291"/>
      <c r="AO100" s="291"/>
      <c r="AP100" s="291"/>
      <c r="AQ100" s="291"/>
      <c r="AR100" s="291"/>
      <c r="AS100" s="291"/>
      <c r="AT100" s="291"/>
      <c r="AU100" s="291"/>
    </row>
    <row r="101" spans="2:47">
      <c r="B101" s="305" t="s">
        <v>7</v>
      </c>
      <c r="C101" s="305"/>
      <c r="D101" s="305"/>
      <c r="E101" s="306" t="s">
        <v>102</v>
      </c>
      <c r="F101" s="306"/>
      <c r="G101" s="306"/>
      <c r="H101" s="306"/>
      <c r="I101" s="306"/>
      <c r="J101" s="306"/>
      <c r="K101" s="306"/>
      <c r="L101" s="306"/>
      <c r="M101" s="306"/>
      <c r="N101" s="306"/>
      <c r="O101" s="306"/>
      <c r="P101" s="306"/>
      <c r="Q101" s="306"/>
      <c r="R101" s="306"/>
      <c r="S101" s="306"/>
      <c r="T101" s="306"/>
      <c r="U101" s="306"/>
      <c r="V101" s="306"/>
      <c r="W101" s="306"/>
      <c r="X101" s="306"/>
      <c r="Y101" s="306"/>
      <c r="Z101" s="306"/>
      <c r="AA101" s="306"/>
      <c r="AB101" s="306"/>
      <c r="AC101" s="306"/>
      <c r="AD101" s="306"/>
      <c r="AE101" s="307">
        <f>1/12</f>
        <v>8.3333333333333329E-2</v>
      </c>
      <c r="AF101" s="307"/>
      <c r="AG101" s="307"/>
      <c r="AH101" s="307"/>
      <c r="AI101" s="307"/>
      <c r="AJ101" s="307"/>
      <c r="AK101" s="308">
        <f>ROUND(AE101*$AK$41,2)</f>
        <v>97.5</v>
      </c>
      <c r="AL101" s="308"/>
      <c r="AM101" s="308"/>
      <c r="AN101" s="308"/>
      <c r="AO101" s="308"/>
      <c r="AP101" s="308"/>
      <c r="AQ101" s="308"/>
      <c r="AR101" s="308"/>
      <c r="AS101" s="308"/>
      <c r="AT101" s="308"/>
      <c r="AU101" s="308"/>
    </row>
    <row r="102" spans="2:47">
      <c r="B102" s="284" t="s">
        <v>9</v>
      </c>
      <c r="C102" s="284"/>
      <c r="D102" s="284"/>
      <c r="E102" s="295" t="s">
        <v>103</v>
      </c>
      <c r="F102" s="295"/>
      <c r="G102" s="295"/>
      <c r="H102" s="295"/>
      <c r="I102" s="295"/>
      <c r="J102" s="295"/>
      <c r="K102" s="295"/>
      <c r="L102" s="295"/>
      <c r="M102" s="295"/>
      <c r="N102" s="295"/>
      <c r="O102" s="295"/>
      <c r="P102" s="295"/>
      <c r="Q102" s="295"/>
      <c r="R102" s="295"/>
      <c r="S102" s="295"/>
      <c r="T102" s="295"/>
      <c r="U102" s="295"/>
      <c r="V102" s="295"/>
      <c r="W102" s="295"/>
      <c r="X102" s="295"/>
      <c r="Y102" s="295"/>
      <c r="Z102" s="295"/>
      <c r="AA102" s="295"/>
      <c r="AB102" s="295"/>
      <c r="AC102" s="295"/>
      <c r="AD102" s="295"/>
      <c r="AE102" s="320">
        <v>5</v>
      </c>
      <c r="AF102" s="320"/>
      <c r="AG102" s="320"/>
      <c r="AH102" s="320"/>
      <c r="AI102" s="320"/>
      <c r="AJ102" s="320"/>
      <c r="AK102" s="299">
        <f>ROUND((AE102*($AK$41/30/12)),2)</f>
        <v>16.25</v>
      </c>
      <c r="AL102" s="299"/>
      <c r="AM102" s="299"/>
      <c r="AN102" s="299"/>
      <c r="AO102" s="299"/>
      <c r="AP102" s="299"/>
      <c r="AQ102" s="299"/>
      <c r="AR102" s="299"/>
      <c r="AS102" s="299"/>
      <c r="AT102" s="299"/>
      <c r="AU102" s="299"/>
    </row>
    <row r="103" spans="2:47">
      <c r="B103" s="284" t="s">
        <v>11</v>
      </c>
      <c r="C103" s="284"/>
      <c r="D103" s="284"/>
      <c r="E103" s="295" t="s">
        <v>104</v>
      </c>
      <c r="F103" s="295"/>
      <c r="G103" s="295"/>
      <c r="H103" s="295"/>
      <c r="I103" s="295"/>
      <c r="J103" s="295"/>
      <c r="K103" s="295"/>
      <c r="L103" s="295"/>
      <c r="M103" s="295"/>
      <c r="N103" s="295"/>
      <c r="O103" s="295"/>
      <c r="P103" s="295"/>
      <c r="Q103" s="295"/>
      <c r="R103" s="295"/>
      <c r="S103" s="295"/>
      <c r="T103" s="295"/>
      <c r="U103" s="295"/>
      <c r="V103" s="295"/>
      <c r="W103" s="295"/>
      <c r="X103" s="295"/>
      <c r="Y103" s="295"/>
      <c r="Z103" s="295"/>
      <c r="AA103" s="295"/>
      <c r="AB103" s="295"/>
      <c r="AC103" s="295"/>
      <c r="AD103" s="295"/>
      <c r="AE103" s="298">
        <v>1.4999999999999999E-2</v>
      </c>
      <c r="AF103" s="298"/>
      <c r="AG103" s="298"/>
      <c r="AH103" s="298"/>
      <c r="AI103" s="298"/>
      <c r="AJ103" s="298"/>
      <c r="AK103" s="299">
        <f>ROUND((AE103*($AK$41/30/12*5)),2)</f>
        <v>0.24</v>
      </c>
      <c r="AL103" s="299"/>
      <c r="AM103" s="299"/>
      <c r="AN103" s="299"/>
      <c r="AO103" s="299"/>
      <c r="AP103" s="299"/>
      <c r="AQ103" s="299"/>
      <c r="AR103" s="299"/>
      <c r="AS103" s="299"/>
      <c r="AT103" s="299"/>
      <c r="AU103" s="299"/>
    </row>
    <row r="104" spans="2:47">
      <c r="B104" s="284" t="s">
        <v>13</v>
      </c>
      <c r="C104" s="284"/>
      <c r="D104" s="284"/>
      <c r="E104" s="295" t="s">
        <v>105</v>
      </c>
      <c r="F104" s="295"/>
      <c r="G104" s="295"/>
      <c r="H104" s="295"/>
      <c r="I104" s="295"/>
      <c r="J104" s="295"/>
      <c r="K104" s="295"/>
      <c r="L104" s="295"/>
      <c r="M104" s="295"/>
      <c r="N104" s="295"/>
      <c r="O104" s="295"/>
      <c r="P104" s="295"/>
      <c r="Q104" s="295"/>
      <c r="R104" s="295"/>
      <c r="S104" s="295"/>
      <c r="T104" s="295"/>
      <c r="U104" s="295"/>
      <c r="V104" s="295"/>
      <c r="W104" s="295"/>
      <c r="X104" s="295"/>
      <c r="Y104" s="295"/>
      <c r="Z104" s="295"/>
      <c r="AA104" s="295"/>
      <c r="AB104" s="295"/>
      <c r="AC104" s="295"/>
      <c r="AD104" s="295"/>
      <c r="AE104" s="320">
        <v>1</v>
      </c>
      <c r="AF104" s="320"/>
      <c r="AG104" s="320"/>
      <c r="AH104" s="320"/>
      <c r="AI104" s="320"/>
      <c r="AJ104" s="320"/>
      <c r="AK104" s="299">
        <f>ROUND((AE104*($AK$41/30/12)),2)</f>
        <v>3.25</v>
      </c>
      <c r="AL104" s="299"/>
      <c r="AM104" s="299"/>
      <c r="AN104" s="299"/>
      <c r="AO104" s="299"/>
      <c r="AP104" s="299"/>
      <c r="AQ104" s="299"/>
      <c r="AR104" s="299"/>
      <c r="AS104" s="299"/>
      <c r="AT104" s="299"/>
      <c r="AU104" s="299"/>
    </row>
    <row r="105" spans="2:47">
      <c r="B105" s="284" t="s">
        <v>37</v>
      </c>
      <c r="C105" s="284"/>
      <c r="D105" s="284"/>
      <c r="E105" s="295" t="s">
        <v>106</v>
      </c>
      <c r="F105" s="295"/>
      <c r="G105" s="295"/>
      <c r="H105" s="295"/>
      <c r="I105" s="295"/>
      <c r="J105" s="295"/>
      <c r="K105" s="295"/>
      <c r="L105" s="295"/>
      <c r="M105" s="295"/>
      <c r="N105" s="295"/>
      <c r="O105" s="295"/>
      <c r="P105" s="295"/>
      <c r="Q105" s="295"/>
      <c r="R105" s="295"/>
      <c r="S105" s="295"/>
      <c r="T105" s="295"/>
      <c r="U105" s="295"/>
      <c r="V105" s="295"/>
      <c r="W105" s="295"/>
      <c r="X105" s="295"/>
      <c r="Y105" s="295"/>
      <c r="Z105" s="295"/>
      <c r="AA105" s="295"/>
      <c r="AB105" s="295"/>
      <c r="AC105" s="295"/>
      <c r="AD105" s="295"/>
      <c r="AE105" s="320">
        <v>15</v>
      </c>
      <c r="AF105" s="320"/>
      <c r="AG105" s="320"/>
      <c r="AH105" s="320"/>
      <c r="AI105" s="320"/>
      <c r="AJ105" s="320"/>
      <c r="AK105" s="299">
        <f>ROUND((AE105*($AK$41/30/12*0.08)),2)</f>
        <v>3.9</v>
      </c>
      <c r="AL105" s="299"/>
      <c r="AM105" s="299"/>
      <c r="AN105" s="299"/>
      <c r="AO105" s="299"/>
      <c r="AP105" s="299"/>
      <c r="AQ105" s="299"/>
      <c r="AR105" s="299"/>
      <c r="AS105" s="299"/>
      <c r="AT105" s="299"/>
      <c r="AU105" s="299"/>
    </row>
    <row r="106" spans="2:47">
      <c r="B106" s="284" t="s">
        <v>39</v>
      </c>
      <c r="C106" s="284"/>
      <c r="D106" s="284"/>
      <c r="E106" s="295" t="s">
        <v>107</v>
      </c>
      <c r="F106" s="295"/>
      <c r="G106" s="295"/>
      <c r="H106" s="295"/>
      <c r="I106" s="295"/>
      <c r="J106" s="295"/>
      <c r="K106" s="295"/>
      <c r="L106" s="295"/>
      <c r="M106" s="295"/>
      <c r="N106" s="295"/>
      <c r="O106" s="295"/>
      <c r="P106" s="295"/>
      <c r="Q106" s="295"/>
      <c r="R106" s="295"/>
      <c r="S106" s="295"/>
      <c r="T106" s="295"/>
      <c r="U106" s="295"/>
      <c r="V106" s="295"/>
      <c r="W106" s="295"/>
      <c r="X106" s="295"/>
      <c r="Y106" s="295"/>
      <c r="Z106" s="295"/>
      <c r="AA106" s="295"/>
      <c r="AB106" s="295"/>
      <c r="AC106" s="295"/>
      <c r="AD106" s="295"/>
      <c r="AE106" s="296">
        <v>0</v>
      </c>
      <c r="AF106" s="296"/>
      <c r="AG106" s="296"/>
      <c r="AH106" s="296"/>
      <c r="AI106" s="296"/>
      <c r="AJ106" s="296"/>
      <c r="AK106" s="299">
        <f>ROUND(AE106*$AK$41,2)</f>
        <v>0</v>
      </c>
      <c r="AL106" s="299"/>
      <c r="AM106" s="299"/>
      <c r="AN106" s="299"/>
      <c r="AO106" s="299"/>
      <c r="AP106" s="299"/>
      <c r="AQ106" s="299"/>
      <c r="AR106" s="299"/>
      <c r="AS106" s="299"/>
      <c r="AT106" s="299"/>
      <c r="AU106" s="299"/>
    </row>
    <row r="107" spans="2:47">
      <c r="B107" s="314" t="s">
        <v>81</v>
      </c>
      <c r="C107" s="314"/>
      <c r="D107" s="314"/>
      <c r="E107" s="314"/>
      <c r="F107" s="314"/>
      <c r="G107" s="314"/>
      <c r="H107" s="314"/>
      <c r="I107" s="314"/>
      <c r="J107" s="314"/>
      <c r="K107" s="314"/>
      <c r="L107" s="314"/>
      <c r="M107" s="314"/>
      <c r="N107" s="314"/>
      <c r="O107" s="314"/>
      <c r="P107" s="314"/>
      <c r="Q107" s="314"/>
      <c r="R107" s="314"/>
      <c r="S107" s="314"/>
      <c r="T107" s="314"/>
      <c r="U107" s="314"/>
      <c r="V107" s="314"/>
      <c r="W107" s="314"/>
      <c r="X107" s="314"/>
      <c r="Y107" s="314"/>
      <c r="Z107" s="314"/>
      <c r="AA107" s="314"/>
      <c r="AB107" s="314"/>
      <c r="AC107" s="314"/>
      <c r="AD107" s="314"/>
      <c r="AE107" s="315" t="s">
        <v>33</v>
      </c>
      <c r="AF107" s="315"/>
      <c r="AG107" s="315"/>
      <c r="AH107" s="315"/>
      <c r="AI107" s="315"/>
      <c r="AJ107" s="315"/>
      <c r="AK107" s="316">
        <f>ROUND(SUM(AK101:AU106),2)</f>
        <v>121.14</v>
      </c>
      <c r="AL107" s="316"/>
      <c r="AM107" s="316"/>
      <c r="AN107" s="316"/>
      <c r="AO107" s="316"/>
      <c r="AP107" s="316"/>
      <c r="AQ107" s="316"/>
      <c r="AR107" s="316"/>
      <c r="AS107" s="316"/>
      <c r="AT107" s="316"/>
      <c r="AU107" s="316"/>
    </row>
    <row r="108" spans="2:47">
      <c r="B108" s="284" t="s">
        <v>41</v>
      </c>
      <c r="C108" s="284"/>
      <c r="D108" s="284"/>
      <c r="E108" s="295" t="s">
        <v>108</v>
      </c>
      <c r="F108" s="295"/>
      <c r="G108" s="295"/>
      <c r="H108" s="295"/>
      <c r="I108" s="295"/>
      <c r="J108" s="295"/>
      <c r="K108" s="295"/>
      <c r="L108" s="295"/>
      <c r="M108" s="295"/>
      <c r="N108" s="295"/>
      <c r="O108" s="295"/>
      <c r="P108" s="295"/>
      <c r="Q108" s="295"/>
      <c r="R108" s="295"/>
      <c r="S108" s="295"/>
      <c r="T108" s="295"/>
      <c r="U108" s="295"/>
      <c r="V108" s="295"/>
      <c r="W108" s="295"/>
      <c r="X108" s="295"/>
      <c r="Y108" s="295"/>
      <c r="Z108" s="295"/>
      <c r="AA108" s="295"/>
      <c r="AB108" s="295"/>
      <c r="AC108" s="295"/>
      <c r="AD108" s="295"/>
      <c r="AE108" s="296">
        <f>AE72</f>
        <v>0.31000000000000005</v>
      </c>
      <c r="AF108" s="296"/>
      <c r="AG108" s="296"/>
      <c r="AH108" s="296"/>
      <c r="AI108" s="296"/>
      <c r="AJ108" s="296"/>
      <c r="AK108" s="299">
        <f>ROUND(AE108*AK107,2)</f>
        <v>37.549999999999997</v>
      </c>
      <c r="AL108" s="299"/>
      <c r="AM108" s="299"/>
      <c r="AN108" s="299"/>
      <c r="AO108" s="299"/>
      <c r="AP108" s="299"/>
      <c r="AQ108" s="299"/>
      <c r="AR108" s="299"/>
      <c r="AS108" s="299"/>
      <c r="AT108" s="299"/>
      <c r="AU108" s="299"/>
    </row>
    <row r="109" spans="2:47">
      <c r="B109" s="311" t="s">
        <v>75</v>
      </c>
      <c r="C109" s="311"/>
      <c r="D109" s="311"/>
      <c r="E109" s="311"/>
      <c r="F109" s="311"/>
      <c r="G109" s="311"/>
      <c r="H109" s="311"/>
      <c r="I109" s="311"/>
      <c r="J109" s="311"/>
      <c r="K109" s="311"/>
      <c r="L109" s="311"/>
      <c r="M109" s="311"/>
      <c r="N109" s="311"/>
      <c r="O109" s="311"/>
      <c r="P109" s="311"/>
      <c r="Q109" s="311"/>
      <c r="R109" s="311"/>
      <c r="S109" s="311"/>
      <c r="T109" s="311"/>
      <c r="U109" s="311"/>
      <c r="V109" s="311"/>
      <c r="W109" s="311"/>
      <c r="X109" s="311"/>
      <c r="Y109" s="311"/>
      <c r="Z109" s="311"/>
      <c r="AA109" s="311"/>
      <c r="AB109" s="311"/>
      <c r="AC109" s="311"/>
      <c r="AD109" s="311"/>
      <c r="AE109" s="312" t="s">
        <v>33</v>
      </c>
      <c r="AF109" s="312"/>
      <c r="AG109" s="312"/>
      <c r="AH109" s="312"/>
      <c r="AI109" s="312"/>
      <c r="AJ109" s="312"/>
      <c r="AK109" s="313">
        <f>ROUND(AK107+AK108,2)</f>
        <v>158.69</v>
      </c>
      <c r="AL109" s="313"/>
      <c r="AM109" s="313"/>
      <c r="AN109" s="313"/>
      <c r="AO109" s="313"/>
      <c r="AP109" s="313"/>
      <c r="AQ109" s="313"/>
      <c r="AR109" s="313"/>
      <c r="AS109" s="313"/>
      <c r="AT109" s="313"/>
      <c r="AU109" s="313"/>
    </row>
    <row r="111" spans="2:47">
      <c r="B111" s="321" t="s">
        <v>109</v>
      </c>
      <c r="C111" s="321"/>
      <c r="D111" s="321"/>
      <c r="E111" s="321"/>
      <c r="F111" s="321"/>
      <c r="G111" s="321"/>
      <c r="H111" s="321"/>
      <c r="I111" s="321"/>
      <c r="J111" s="321"/>
      <c r="K111" s="321"/>
      <c r="L111" s="321"/>
      <c r="M111" s="321"/>
      <c r="N111" s="321"/>
      <c r="O111" s="321"/>
      <c r="P111" s="321"/>
      <c r="Q111" s="321"/>
      <c r="R111" s="321"/>
      <c r="S111" s="321"/>
      <c r="T111" s="321"/>
      <c r="U111" s="321"/>
      <c r="V111" s="321"/>
      <c r="W111" s="321"/>
      <c r="X111" s="321"/>
      <c r="Y111" s="321"/>
      <c r="Z111" s="321"/>
      <c r="AA111" s="321"/>
      <c r="AB111" s="321"/>
      <c r="AC111" s="321"/>
      <c r="AD111" s="321"/>
      <c r="AE111" s="321"/>
      <c r="AF111" s="321"/>
      <c r="AG111" s="321"/>
      <c r="AH111" s="321"/>
      <c r="AI111" s="321"/>
      <c r="AJ111" s="321"/>
      <c r="AK111" s="321"/>
      <c r="AL111" s="321"/>
      <c r="AM111" s="321"/>
      <c r="AN111" s="321"/>
      <c r="AO111" s="321"/>
      <c r="AP111" s="321"/>
      <c r="AQ111" s="321"/>
      <c r="AR111" s="321"/>
      <c r="AS111" s="321"/>
      <c r="AT111" s="321"/>
      <c r="AU111" s="321"/>
    </row>
    <row r="112" spans="2:47">
      <c r="B112" s="291">
        <v>4</v>
      </c>
      <c r="C112" s="291"/>
      <c r="D112" s="291"/>
      <c r="E112" s="288" t="s">
        <v>110</v>
      </c>
      <c r="F112" s="288"/>
      <c r="G112" s="288"/>
      <c r="H112" s="288"/>
      <c r="I112" s="288"/>
      <c r="J112" s="288"/>
      <c r="K112" s="288"/>
      <c r="L112" s="288"/>
      <c r="M112" s="288"/>
      <c r="N112" s="288"/>
      <c r="O112" s="288"/>
      <c r="P112" s="288"/>
      <c r="Q112" s="288"/>
      <c r="R112" s="288"/>
      <c r="S112" s="288"/>
      <c r="T112" s="288"/>
      <c r="U112" s="288"/>
      <c r="V112" s="288"/>
      <c r="W112" s="288"/>
      <c r="X112" s="288"/>
      <c r="Y112" s="288"/>
      <c r="Z112" s="288"/>
      <c r="AA112" s="288"/>
      <c r="AB112" s="288"/>
      <c r="AC112" s="288"/>
      <c r="AD112" s="288"/>
      <c r="AE112" s="291" t="s">
        <v>31</v>
      </c>
      <c r="AF112" s="291"/>
      <c r="AG112" s="291"/>
      <c r="AH112" s="291"/>
      <c r="AI112" s="291"/>
      <c r="AJ112" s="291"/>
      <c r="AK112" s="291" t="s">
        <v>24</v>
      </c>
      <c r="AL112" s="291"/>
      <c r="AM112" s="291"/>
      <c r="AN112" s="291"/>
      <c r="AO112" s="291"/>
      <c r="AP112" s="291"/>
      <c r="AQ112" s="291"/>
      <c r="AR112" s="291"/>
      <c r="AS112" s="291"/>
      <c r="AT112" s="291"/>
      <c r="AU112" s="291"/>
    </row>
    <row r="113" spans="2:53">
      <c r="B113" s="284" t="s">
        <v>65</v>
      </c>
      <c r="C113" s="284"/>
      <c r="D113" s="284"/>
      <c r="E113" s="295" t="s">
        <v>66</v>
      </c>
      <c r="F113" s="295"/>
      <c r="G113" s="295"/>
      <c r="H113" s="295"/>
      <c r="I113" s="295"/>
      <c r="J113" s="295"/>
      <c r="K113" s="295"/>
      <c r="L113" s="295"/>
      <c r="M113" s="295"/>
      <c r="N113" s="295"/>
      <c r="O113" s="295"/>
      <c r="P113" s="295"/>
      <c r="Q113" s="295"/>
      <c r="R113" s="295"/>
      <c r="S113" s="295"/>
      <c r="T113" s="295"/>
      <c r="U113" s="295"/>
      <c r="V113" s="295"/>
      <c r="W113" s="295"/>
      <c r="X113" s="295"/>
      <c r="Y113" s="295"/>
      <c r="Z113" s="295"/>
      <c r="AA113" s="295"/>
      <c r="AB113" s="295"/>
      <c r="AC113" s="295"/>
      <c r="AD113" s="295"/>
      <c r="AE113" s="296">
        <f>AE72</f>
        <v>0.31000000000000005</v>
      </c>
      <c r="AF113" s="296"/>
      <c r="AG113" s="296"/>
      <c r="AH113" s="296"/>
      <c r="AI113" s="296"/>
      <c r="AJ113" s="296"/>
      <c r="AK113" s="299">
        <f>ROUND(AK72,2)</f>
        <v>362.7</v>
      </c>
      <c r="AL113" s="299"/>
      <c r="AM113" s="299"/>
      <c r="AN113" s="299"/>
      <c r="AO113" s="299"/>
      <c r="AP113" s="299"/>
      <c r="AQ113" s="299"/>
      <c r="AR113" s="299"/>
      <c r="AS113" s="299"/>
      <c r="AT113" s="299"/>
      <c r="AU113" s="299"/>
    </row>
    <row r="114" spans="2:53">
      <c r="B114" s="284" t="s">
        <v>77</v>
      </c>
      <c r="C114" s="284"/>
      <c r="D114" s="284"/>
      <c r="E114" s="295" t="s">
        <v>111</v>
      </c>
      <c r="F114" s="295"/>
      <c r="G114" s="295"/>
      <c r="H114" s="295"/>
      <c r="I114" s="295"/>
      <c r="J114" s="295"/>
      <c r="K114" s="295"/>
      <c r="L114" s="295"/>
      <c r="M114" s="295"/>
      <c r="N114" s="295"/>
      <c r="O114" s="295"/>
      <c r="P114" s="295"/>
      <c r="Q114" s="295"/>
      <c r="R114" s="295"/>
      <c r="S114" s="295"/>
      <c r="T114" s="295"/>
      <c r="U114" s="295"/>
      <c r="V114" s="295"/>
      <c r="W114" s="295"/>
      <c r="X114" s="295"/>
      <c r="Y114" s="295"/>
      <c r="Z114" s="295"/>
      <c r="AA114" s="295"/>
      <c r="AB114" s="295"/>
      <c r="AC114" s="295"/>
      <c r="AD114" s="295"/>
      <c r="AE114" s="296">
        <f>AE80</f>
        <v>0.14555555555555555</v>
      </c>
      <c r="AF114" s="296"/>
      <c r="AG114" s="296"/>
      <c r="AH114" s="296"/>
      <c r="AI114" s="296"/>
      <c r="AJ114" s="296"/>
      <c r="AK114" s="299">
        <f>ROUND(AK80,2)</f>
        <v>170.3</v>
      </c>
      <c r="AL114" s="299"/>
      <c r="AM114" s="299"/>
      <c r="AN114" s="299"/>
      <c r="AO114" s="299"/>
      <c r="AP114" s="299"/>
      <c r="AQ114" s="299"/>
      <c r="AR114" s="299"/>
      <c r="AS114" s="299"/>
      <c r="AT114" s="299"/>
      <c r="AU114" s="299"/>
    </row>
    <row r="115" spans="2:53">
      <c r="B115" s="284" t="s">
        <v>84</v>
      </c>
      <c r="C115" s="284"/>
      <c r="D115" s="284"/>
      <c r="E115" s="295" t="s">
        <v>112</v>
      </c>
      <c r="F115" s="295"/>
      <c r="G115" s="295"/>
      <c r="H115" s="295"/>
      <c r="I115" s="295"/>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6">
        <f>AE87</f>
        <v>0.33620000000000005</v>
      </c>
      <c r="AF115" s="296"/>
      <c r="AG115" s="296"/>
      <c r="AH115" s="296"/>
      <c r="AI115" s="296"/>
      <c r="AJ115" s="296"/>
      <c r="AK115" s="299">
        <f>ROUND(AK87,2)</f>
        <v>3.76</v>
      </c>
      <c r="AL115" s="299"/>
      <c r="AM115" s="299"/>
      <c r="AN115" s="299"/>
      <c r="AO115" s="299"/>
      <c r="AP115" s="299"/>
      <c r="AQ115" s="299"/>
      <c r="AR115" s="299"/>
      <c r="AS115" s="299"/>
      <c r="AT115" s="299"/>
      <c r="AU115" s="299"/>
    </row>
    <row r="116" spans="2:53">
      <c r="B116" s="284" t="s">
        <v>91</v>
      </c>
      <c r="C116" s="284"/>
      <c r="D116" s="284"/>
      <c r="E116" s="295" t="s">
        <v>113</v>
      </c>
      <c r="F116" s="295"/>
      <c r="G116" s="295"/>
      <c r="H116" s="295"/>
      <c r="I116" s="295"/>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6">
        <f>AE97</f>
        <v>1.0700000000000003</v>
      </c>
      <c r="AF116" s="296"/>
      <c r="AG116" s="296"/>
      <c r="AH116" s="296"/>
      <c r="AI116" s="296"/>
      <c r="AJ116" s="296"/>
      <c r="AK116" s="299">
        <f>ROUND(AK97,2)</f>
        <v>87.49</v>
      </c>
      <c r="AL116" s="299"/>
      <c r="AM116" s="299"/>
      <c r="AN116" s="299"/>
      <c r="AO116" s="299"/>
      <c r="AP116" s="299"/>
      <c r="AQ116" s="299"/>
      <c r="AR116" s="299"/>
      <c r="AS116" s="299"/>
      <c r="AT116" s="299"/>
      <c r="AU116" s="299"/>
    </row>
    <row r="117" spans="2:53">
      <c r="B117" s="284" t="s">
        <v>100</v>
      </c>
      <c r="C117" s="284"/>
      <c r="D117" s="284"/>
      <c r="E117" s="295" t="s">
        <v>114</v>
      </c>
      <c r="F117" s="295"/>
      <c r="G117" s="295"/>
      <c r="H117" s="295"/>
      <c r="I117" s="295"/>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6" t="str">
        <f>AE109</f>
        <v>-</v>
      </c>
      <c r="AF117" s="296"/>
      <c r="AG117" s="296"/>
      <c r="AH117" s="296"/>
      <c r="AI117" s="296"/>
      <c r="AJ117" s="296"/>
      <c r="AK117" s="299">
        <f>ROUND(AK109,2)</f>
        <v>158.69</v>
      </c>
      <c r="AL117" s="299"/>
      <c r="AM117" s="299"/>
      <c r="AN117" s="299"/>
      <c r="AO117" s="299"/>
      <c r="AP117" s="299"/>
      <c r="AQ117" s="299"/>
      <c r="AR117" s="299"/>
      <c r="AS117" s="299"/>
      <c r="AT117" s="299"/>
      <c r="AU117" s="299"/>
    </row>
    <row r="118" spans="2:53">
      <c r="B118" s="284" t="s">
        <v>115</v>
      </c>
      <c r="C118" s="284"/>
      <c r="D118" s="284"/>
      <c r="E118" s="295" t="s">
        <v>107</v>
      </c>
      <c r="F118" s="295"/>
      <c r="G118" s="295"/>
      <c r="H118" s="295"/>
      <c r="I118" s="295"/>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322">
        <v>0</v>
      </c>
      <c r="AF118" s="322"/>
      <c r="AG118" s="322"/>
      <c r="AH118" s="322"/>
      <c r="AI118" s="322"/>
      <c r="AJ118" s="322"/>
      <c r="AK118" s="299">
        <v>0</v>
      </c>
      <c r="AL118" s="299"/>
      <c r="AM118" s="299"/>
      <c r="AN118" s="299"/>
      <c r="AO118" s="299"/>
      <c r="AP118" s="299"/>
      <c r="AQ118" s="299"/>
      <c r="AR118" s="299"/>
      <c r="AS118" s="299"/>
      <c r="AT118" s="299"/>
      <c r="AU118" s="299"/>
    </row>
    <row r="119" spans="2:53">
      <c r="B119" s="311" t="s">
        <v>75</v>
      </c>
      <c r="C119" s="311"/>
      <c r="D119" s="311"/>
      <c r="E119" s="311"/>
      <c r="F119" s="311"/>
      <c r="G119" s="311"/>
      <c r="H119" s="311"/>
      <c r="I119" s="311"/>
      <c r="J119" s="311"/>
      <c r="K119" s="311"/>
      <c r="L119" s="311"/>
      <c r="M119" s="311"/>
      <c r="N119" s="311"/>
      <c r="O119" s="311"/>
      <c r="P119" s="311"/>
      <c r="Q119" s="311"/>
      <c r="R119" s="311"/>
      <c r="S119" s="311"/>
      <c r="T119" s="311"/>
      <c r="U119" s="311"/>
      <c r="V119" s="311"/>
      <c r="W119" s="311"/>
      <c r="X119" s="311"/>
      <c r="Y119" s="311"/>
      <c r="Z119" s="311"/>
      <c r="AA119" s="311"/>
      <c r="AB119" s="311"/>
      <c r="AC119" s="311"/>
      <c r="AD119" s="311"/>
      <c r="AE119" s="312">
        <f>SUM(AE113:AJ118)</f>
        <v>1.8617555555555558</v>
      </c>
      <c r="AF119" s="312"/>
      <c r="AG119" s="312"/>
      <c r="AH119" s="312"/>
      <c r="AI119" s="312"/>
      <c r="AJ119" s="312"/>
      <c r="AK119" s="313">
        <f>ROUND(SUM(AK113:AU118),2)</f>
        <v>782.94</v>
      </c>
      <c r="AL119" s="313"/>
      <c r="AM119" s="313"/>
      <c r="AN119" s="313"/>
      <c r="AO119" s="313"/>
      <c r="AP119" s="313"/>
      <c r="AQ119" s="313"/>
      <c r="AR119" s="313"/>
      <c r="AS119" s="313"/>
      <c r="AT119" s="313"/>
      <c r="AU119" s="313"/>
    </row>
    <row r="120" spans="2:53">
      <c r="B120" s="302" t="s">
        <v>116</v>
      </c>
      <c r="C120" s="302"/>
      <c r="D120" s="302"/>
      <c r="E120" s="302"/>
      <c r="F120" s="302"/>
      <c r="G120" s="302"/>
      <c r="H120" s="302"/>
      <c r="I120" s="302"/>
      <c r="J120" s="302"/>
      <c r="K120" s="302"/>
      <c r="L120" s="302"/>
      <c r="M120" s="302"/>
      <c r="N120" s="302"/>
      <c r="O120" s="302"/>
      <c r="P120" s="302"/>
      <c r="Q120" s="302"/>
      <c r="R120" s="302"/>
      <c r="S120" s="302"/>
      <c r="T120" s="302"/>
      <c r="U120" s="302"/>
      <c r="V120" s="302"/>
      <c r="W120" s="302"/>
      <c r="X120" s="302"/>
      <c r="Y120" s="302"/>
      <c r="Z120" s="302"/>
      <c r="AA120" s="302"/>
      <c r="AB120" s="302"/>
      <c r="AC120" s="302"/>
      <c r="AD120" s="302"/>
      <c r="AE120" s="302"/>
      <c r="AF120" s="302"/>
      <c r="AG120" s="302"/>
      <c r="AH120" s="302"/>
      <c r="AI120" s="302"/>
      <c r="AJ120" s="302"/>
      <c r="AK120" s="313">
        <f>ROUND(AK41+AK51+AK59+AK119,2)</f>
        <v>2674.88</v>
      </c>
      <c r="AL120" s="313"/>
      <c r="AM120" s="313"/>
      <c r="AN120" s="313"/>
      <c r="AO120" s="313"/>
      <c r="AP120" s="313"/>
      <c r="AQ120" s="313"/>
      <c r="AR120" s="313"/>
      <c r="AS120" s="313"/>
      <c r="AT120" s="313"/>
      <c r="AU120" s="313"/>
    </row>
    <row r="122" spans="2:53">
      <c r="B122" s="291" t="s">
        <v>117</v>
      </c>
      <c r="C122" s="291"/>
      <c r="D122" s="291"/>
      <c r="E122" s="291"/>
      <c r="F122" s="291"/>
      <c r="G122" s="291"/>
      <c r="H122" s="291"/>
      <c r="I122" s="291"/>
      <c r="J122" s="291"/>
      <c r="K122" s="291"/>
      <c r="L122" s="291"/>
      <c r="M122" s="291"/>
      <c r="N122" s="291"/>
      <c r="O122" s="291"/>
      <c r="P122" s="291"/>
      <c r="Q122" s="291"/>
      <c r="R122" s="291"/>
      <c r="S122" s="291"/>
      <c r="T122" s="291"/>
      <c r="U122" s="291"/>
      <c r="V122" s="291"/>
      <c r="W122" s="291"/>
      <c r="X122" s="291"/>
      <c r="Y122" s="291"/>
      <c r="Z122" s="291"/>
      <c r="AA122" s="291"/>
      <c r="AB122" s="291"/>
      <c r="AC122" s="291"/>
      <c r="AD122" s="291"/>
      <c r="AE122" s="291"/>
      <c r="AF122" s="291"/>
      <c r="AG122" s="291"/>
      <c r="AH122" s="291"/>
      <c r="AI122" s="291"/>
      <c r="AJ122" s="291"/>
      <c r="AK122" s="291"/>
      <c r="AL122" s="291"/>
      <c r="AM122" s="291"/>
      <c r="AN122" s="291"/>
      <c r="AO122" s="291"/>
      <c r="AP122" s="291"/>
      <c r="AQ122" s="291"/>
      <c r="AR122" s="291"/>
      <c r="AS122" s="291"/>
      <c r="AT122" s="291"/>
      <c r="AU122" s="291"/>
    </row>
    <row r="123" spans="2:53">
      <c r="B123" s="291">
        <v>5</v>
      </c>
      <c r="C123" s="291"/>
      <c r="D123" s="291"/>
      <c r="E123" s="288" t="s">
        <v>118</v>
      </c>
      <c r="F123" s="288"/>
      <c r="G123" s="288"/>
      <c r="H123" s="288"/>
      <c r="I123" s="288"/>
      <c r="J123" s="288"/>
      <c r="K123" s="288"/>
      <c r="L123" s="288"/>
      <c r="M123" s="288"/>
      <c r="N123" s="288"/>
      <c r="O123" s="288"/>
      <c r="P123" s="288"/>
      <c r="Q123" s="288"/>
      <c r="R123" s="288"/>
      <c r="S123" s="288"/>
      <c r="T123" s="288"/>
      <c r="U123" s="288"/>
      <c r="V123" s="288"/>
      <c r="W123" s="288"/>
      <c r="X123" s="288"/>
      <c r="Y123" s="288"/>
      <c r="Z123" s="288"/>
      <c r="AA123" s="288"/>
      <c r="AB123" s="288"/>
      <c r="AC123" s="288"/>
      <c r="AD123" s="288"/>
      <c r="AE123" s="291" t="s">
        <v>31</v>
      </c>
      <c r="AF123" s="291"/>
      <c r="AG123" s="291"/>
      <c r="AH123" s="291"/>
      <c r="AI123" s="291"/>
      <c r="AJ123" s="291"/>
      <c r="AK123" s="291" t="s">
        <v>24</v>
      </c>
      <c r="AL123" s="291"/>
      <c r="AM123" s="291"/>
      <c r="AN123" s="291"/>
      <c r="AO123" s="291"/>
      <c r="AP123" s="291"/>
      <c r="AQ123" s="291"/>
      <c r="AR123" s="291"/>
      <c r="AS123" s="291"/>
      <c r="AT123" s="291"/>
      <c r="AU123" s="291"/>
    </row>
    <row r="124" spans="2:53">
      <c r="B124" s="323" t="s">
        <v>7</v>
      </c>
      <c r="C124" s="323"/>
      <c r="D124" s="323"/>
      <c r="E124" s="324" t="s">
        <v>119</v>
      </c>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5">
        <v>7.0000000000000007E-2</v>
      </c>
      <c r="AF124" s="325"/>
      <c r="AG124" s="325"/>
      <c r="AH124" s="325"/>
      <c r="AI124" s="325"/>
      <c r="AJ124" s="325"/>
      <c r="AK124" s="326">
        <f>ROUND($AK$120*AE124,2)</f>
        <v>187.24</v>
      </c>
      <c r="AL124" s="326"/>
      <c r="AM124" s="326"/>
      <c r="AN124" s="326"/>
      <c r="AO124" s="326"/>
      <c r="AP124" s="326"/>
      <c r="AQ124" s="326"/>
      <c r="AR124" s="326"/>
      <c r="AS124" s="326"/>
      <c r="AT124" s="326"/>
      <c r="AU124" s="326"/>
    </row>
    <row r="125" spans="2:53">
      <c r="B125" s="327" t="s">
        <v>9</v>
      </c>
      <c r="C125" s="327"/>
      <c r="D125" s="327"/>
      <c r="E125" s="288" t="s">
        <v>120</v>
      </c>
      <c r="F125" s="288"/>
      <c r="G125" s="288"/>
      <c r="H125" s="288"/>
      <c r="I125" s="288"/>
      <c r="J125" s="288"/>
      <c r="K125" s="288"/>
      <c r="L125" s="288"/>
      <c r="M125" s="288"/>
      <c r="N125" s="288"/>
      <c r="O125" s="288"/>
      <c r="P125" s="288"/>
      <c r="Q125" s="288"/>
      <c r="R125" s="288"/>
      <c r="S125" s="288"/>
      <c r="T125" s="288"/>
      <c r="U125" s="288"/>
      <c r="V125" s="288"/>
      <c r="W125" s="288"/>
      <c r="X125" s="288"/>
      <c r="Y125" s="288"/>
      <c r="Z125" s="288"/>
      <c r="AA125" s="288"/>
      <c r="AB125" s="288"/>
      <c r="AC125" s="288"/>
      <c r="AD125" s="288"/>
      <c r="AE125" s="328">
        <f>AE126+AE131+AE136+AE141</f>
        <v>7.7899999999999997E-2</v>
      </c>
      <c r="AF125" s="328"/>
      <c r="AG125" s="328"/>
      <c r="AH125" s="328"/>
      <c r="AI125" s="328"/>
      <c r="AJ125" s="328"/>
      <c r="AK125" s="329">
        <f>SUM(AK126,AK131,AK136,AK141)</f>
        <v>265.98</v>
      </c>
      <c r="AL125" s="329"/>
      <c r="AM125" s="329"/>
      <c r="AN125" s="329"/>
      <c r="AO125" s="329"/>
      <c r="AP125" s="329"/>
      <c r="AQ125" s="329"/>
      <c r="AR125" s="329"/>
      <c r="AS125" s="329"/>
      <c r="AT125" s="329"/>
      <c r="AU125" s="329"/>
      <c r="BA125" s="10"/>
    </row>
    <row r="126" spans="2:53">
      <c r="B126" s="327"/>
      <c r="C126" s="327"/>
      <c r="D126" s="327"/>
      <c r="E126" s="330" t="s">
        <v>121</v>
      </c>
      <c r="F126" s="330"/>
      <c r="G126" s="330"/>
      <c r="H126" s="330"/>
      <c r="I126" s="330"/>
      <c r="J126" s="330"/>
      <c r="K126" s="330"/>
      <c r="L126" s="330"/>
      <c r="M126" s="330"/>
      <c r="N126" s="330"/>
      <c r="O126" s="330"/>
      <c r="P126" s="330"/>
      <c r="Q126" s="330"/>
      <c r="R126" s="330"/>
      <c r="S126" s="330"/>
      <c r="T126" s="330"/>
      <c r="U126" s="330"/>
      <c r="V126" s="330"/>
      <c r="W126" s="330"/>
      <c r="X126" s="330"/>
      <c r="Y126" s="330"/>
      <c r="Z126" s="330"/>
      <c r="AA126" s="330"/>
      <c r="AB126" s="330"/>
      <c r="AC126" s="330"/>
      <c r="AD126" s="330"/>
      <c r="AE126" s="331">
        <f>SUM(AE127:AJ130)</f>
        <v>2.7900000000000001E-2</v>
      </c>
      <c r="AF126" s="331"/>
      <c r="AG126" s="331"/>
      <c r="AH126" s="331"/>
      <c r="AI126" s="331"/>
      <c r="AJ126" s="331"/>
      <c r="AK126" s="332">
        <f>SUM(AK127:AU130)</f>
        <v>95.259999999999991</v>
      </c>
      <c r="AL126" s="332"/>
      <c r="AM126" s="332"/>
      <c r="AN126" s="332"/>
      <c r="AO126" s="332"/>
      <c r="AP126" s="332"/>
      <c r="AQ126" s="332"/>
      <c r="AR126" s="332"/>
      <c r="AS126" s="332"/>
      <c r="AT126" s="332"/>
      <c r="AU126" s="332"/>
    </row>
    <row r="127" spans="2:53">
      <c r="B127" s="327"/>
      <c r="C127" s="327"/>
      <c r="D127" s="327"/>
      <c r="E127" s="295" t="s">
        <v>122</v>
      </c>
      <c r="F127" s="295"/>
      <c r="G127" s="295"/>
      <c r="H127" s="295"/>
      <c r="I127" s="295"/>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309">
        <f>IF($J$5=1,0.0044,IF($J$5=2,0.0165,IF($J$5=3,0.0065,0)))</f>
        <v>4.4000000000000003E-3</v>
      </c>
      <c r="AF127" s="309"/>
      <c r="AG127" s="309"/>
      <c r="AH127" s="309"/>
      <c r="AI127" s="309"/>
      <c r="AJ127" s="309"/>
      <c r="AK127" s="333">
        <f>ROUND((AE127*(((AK$120+AK$124+AK$146)/$J$6))),2)</f>
        <v>15.02</v>
      </c>
      <c r="AL127" s="333"/>
      <c r="AM127" s="333"/>
      <c r="AN127" s="333"/>
      <c r="AO127" s="333"/>
      <c r="AP127" s="333"/>
      <c r="AQ127" s="333"/>
      <c r="AR127" s="333"/>
      <c r="AS127" s="333"/>
      <c r="AT127" s="333"/>
      <c r="AU127" s="333"/>
    </row>
    <row r="128" spans="2:53">
      <c r="B128" s="327"/>
      <c r="C128" s="327"/>
      <c r="D128" s="327"/>
      <c r="E128" s="295" t="s">
        <v>123</v>
      </c>
      <c r="F128" s="295"/>
      <c r="G128" s="295"/>
      <c r="H128" s="295"/>
      <c r="I128" s="295"/>
      <c r="J128" s="295"/>
      <c r="K128" s="295"/>
      <c r="L128" s="295"/>
      <c r="M128" s="295"/>
      <c r="N128" s="295"/>
      <c r="O128" s="295"/>
      <c r="P128" s="295"/>
      <c r="Q128" s="295"/>
      <c r="R128" s="295"/>
      <c r="S128" s="295"/>
      <c r="T128" s="295"/>
      <c r="U128" s="295"/>
      <c r="V128" s="295"/>
      <c r="W128" s="295"/>
      <c r="X128" s="295"/>
      <c r="Y128" s="295"/>
      <c r="Z128" s="295"/>
      <c r="AA128" s="295"/>
      <c r="AB128" s="295"/>
      <c r="AC128" s="295"/>
      <c r="AD128" s="295"/>
      <c r="AE128" s="309">
        <f>IF($J$5=1,0.0235,IF($J$5=2,0.076,IF($J$5=3,0.03,0)))</f>
        <v>2.35E-2</v>
      </c>
      <c r="AF128" s="309"/>
      <c r="AG128" s="309"/>
      <c r="AH128" s="309"/>
      <c r="AI128" s="309"/>
      <c r="AJ128" s="309"/>
      <c r="AK128" s="333">
        <f>ROUND((AE128*(((AK$120+AK$124+AK$146)/$J$6))),2)</f>
        <v>80.239999999999995</v>
      </c>
      <c r="AL128" s="333"/>
      <c r="AM128" s="333"/>
      <c r="AN128" s="333"/>
      <c r="AO128" s="333"/>
      <c r="AP128" s="333"/>
      <c r="AQ128" s="333"/>
      <c r="AR128" s="333"/>
      <c r="AS128" s="333"/>
      <c r="AT128" s="333"/>
      <c r="AU128" s="333"/>
    </row>
    <row r="129" spans="2:47">
      <c r="B129" s="327"/>
      <c r="C129" s="327"/>
      <c r="D129" s="327"/>
      <c r="E129" s="295" t="s">
        <v>124</v>
      </c>
      <c r="F129" s="295"/>
      <c r="G129" s="295"/>
      <c r="H129" s="295"/>
      <c r="I129" s="295"/>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8">
        <v>0</v>
      </c>
      <c r="AF129" s="298"/>
      <c r="AG129" s="298"/>
      <c r="AH129" s="298"/>
      <c r="AI129" s="298"/>
      <c r="AJ129" s="298"/>
      <c r="AK129" s="333">
        <f>ROUND((AE129*(((AK$120+AK$124+AK$146)/$J$6))),2)</f>
        <v>0</v>
      </c>
      <c r="AL129" s="333"/>
      <c r="AM129" s="333"/>
      <c r="AN129" s="333"/>
      <c r="AO129" s="333"/>
      <c r="AP129" s="333"/>
      <c r="AQ129" s="333"/>
      <c r="AR129" s="333"/>
      <c r="AS129" s="333"/>
      <c r="AT129" s="333"/>
      <c r="AU129" s="333"/>
    </row>
    <row r="130" spans="2:47">
      <c r="B130" s="327"/>
      <c r="C130" s="327"/>
      <c r="D130" s="327"/>
      <c r="E130" s="295" t="s">
        <v>125</v>
      </c>
      <c r="F130" s="295"/>
      <c r="G130" s="295"/>
      <c r="H130" s="295"/>
      <c r="I130" s="295"/>
      <c r="J130" s="295"/>
      <c r="K130" s="295"/>
      <c r="L130" s="295"/>
      <c r="M130" s="295"/>
      <c r="N130" s="295"/>
      <c r="O130" s="295"/>
      <c r="P130" s="295"/>
      <c r="Q130" s="295"/>
      <c r="R130" s="295"/>
      <c r="S130" s="295"/>
      <c r="T130" s="295"/>
      <c r="U130" s="295"/>
      <c r="V130" s="295"/>
      <c r="W130" s="295"/>
      <c r="X130" s="295"/>
      <c r="Y130" s="295"/>
      <c r="Z130" s="295"/>
      <c r="AA130" s="295"/>
      <c r="AB130" s="295"/>
      <c r="AC130" s="295"/>
      <c r="AD130" s="295"/>
      <c r="AE130" s="298">
        <v>0</v>
      </c>
      <c r="AF130" s="298"/>
      <c r="AG130" s="298"/>
      <c r="AH130" s="298"/>
      <c r="AI130" s="298"/>
      <c r="AJ130" s="298"/>
      <c r="AK130" s="333">
        <f>ROUND((AE130*(((AK$120+AK$124+AK$146)/$J$6))),2)</f>
        <v>0</v>
      </c>
      <c r="AL130" s="333"/>
      <c r="AM130" s="333"/>
      <c r="AN130" s="333"/>
      <c r="AO130" s="333"/>
      <c r="AP130" s="333"/>
      <c r="AQ130" s="333"/>
      <c r="AR130" s="333"/>
      <c r="AS130" s="333"/>
      <c r="AT130" s="333"/>
      <c r="AU130" s="333"/>
    </row>
    <row r="131" spans="2:47">
      <c r="B131" s="327"/>
      <c r="C131" s="327"/>
      <c r="D131" s="327"/>
      <c r="E131" s="330" t="s">
        <v>126</v>
      </c>
      <c r="F131" s="330"/>
      <c r="G131" s="330"/>
      <c r="H131" s="330"/>
      <c r="I131" s="330"/>
      <c r="J131" s="330"/>
      <c r="K131" s="330"/>
      <c r="L131" s="330"/>
      <c r="M131" s="330"/>
      <c r="N131" s="330"/>
      <c r="O131" s="330"/>
      <c r="P131" s="330"/>
      <c r="Q131" s="330"/>
      <c r="R131" s="330"/>
      <c r="S131" s="330"/>
      <c r="T131" s="330"/>
      <c r="U131" s="330"/>
      <c r="V131" s="330"/>
      <c r="W131" s="330"/>
      <c r="X131" s="330"/>
      <c r="Y131" s="330"/>
      <c r="Z131" s="330"/>
      <c r="AA131" s="330"/>
      <c r="AB131" s="330"/>
      <c r="AC131" s="330"/>
      <c r="AD131" s="330"/>
      <c r="AE131" s="331">
        <f>SUM(AE132:AJ135)</f>
        <v>0</v>
      </c>
      <c r="AF131" s="331"/>
      <c r="AG131" s="331"/>
      <c r="AH131" s="331"/>
      <c r="AI131" s="331"/>
      <c r="AJ131" s="331"/>
      <c r="AK131" s="332">
        <f>SUM(AK132:AU135)</f>
        <v>0</v>
      </c>
      <c r="AL131" s="332"/>
      <c r="AM131" s="332"/>
      <c r="AN131" s="332"/>
      <c r="AO131" s="332"/>
      <c r="AP131" s="332"/>
      <c r="AQ131" s="332"/>
      <c r="AR131" s="332"/>
      <c r="AS131" s="332"/>
      <c r="AT131" s="332"/>
      <c r="AU131" s="332"/>
    </row>
    <row r="132" spans="2:47">
      <c r="B132" s="327"/>
      <c r="C132" s="327"/>
      <c r="D132" s="327"/>
      <c r="E132" s="295" t="s">
        <v>127</v>
      </c>
      <c r="F132" s="295"/>
      <c r="G132" s="295"/>
      <c r="H132" s="295"/>
      <c r="I132" s="295"/>
      <c r="J132" s="295"/>
      <c r="K132" s="295"/>
      <c r="L132" s="295"/>
      <c r="M132" s="295"/>
      <c r="N132" s="295"/>
      <c r="O132" s="295"/>
      <c r="P132" s="295"/>
      <c r="Q132" s="295"/>
      <c r="R132" s="295"/>
      <c r="S132" s="295"/>
      <c r="T132" s="295"/>
      <c r="U132" s="295"/>
      <c r="V132" s="295"/>
      <c r="W132" s="295"/>
      <c r="X132" s="295"/>
      <c r="Y132" s="295"/>
      <c r="Z132" s="295"/>
      <c r="AA132" s="295"/>
      <c r="AB132" s="295"/>
      <c r="AC132" s="295"/>
      <c r="AD132" s="295"/>
      <c r="AE132" s="298">
        <v>0</v>
      </c>
      <c r="AF132" s="298"/>
      <c r="AG132" s="298"/>
      <c r="AH132" s="298"/>
      <c r="AI132" s="298"/>
      <c r="AJ132" s="298"/>
      <c r="AK132" s="333">
        <f>ROUND((AE132*(((AK$120+AK$124+AK$146)/$J$6))),2)</f>
        <v>0</v>
      </c>
      <c r="AL132" s="333"/>
      <c r="AM132" s="333"/>
      <c r="AN132" s="333"/>
      <c r="AO132" s="333"/>
      <c r="AP132" s="333"/>
      <c r="AQ132" s="333"/>
      <c r="AR132" s="333"/>
      <c r="AS132" s="333"/>
      <c r="AT132" s="333"/>
      <c r="AU132" s="333"/>
    </row>
    <row r="133" spans="2:47">
      <c r="B133" s="327"/>
      <c r="C133" s="327"/>
      <c r="D133" s="327"/>
      <c r="E133" s="295" t="s">
        <v>128</v>
      </c>
      <c r="F133" s="295"/>
      <c r="G133" s="295"/>
      <c r="H133" s="295"/>
      <c r="I133" s="295"/>
      <c r="J133" s="295"/>
      <c r="K133" s="295"/>
      <c r="L133" s="295"/>
      <c r="M133" s="295"/>
      <c r="N133" s="295"/>
      <c r="O133" s="295"/>
      <c r="P133" s="295"/>
      <c r="Q133" s="295"/>
      <c r="R133" s="295"/>
      <c r="S133" s="295"/>
      <c r="T133" s="295"/>
      <c r="U133" s="295"/>
      <c r="V133" s="295"/>
      <c r="W133" s="295"/>
      <c r="X133" s="295"/>
      <c r="Y133" s="295"/>
      <c r="Z133" s="295"/>
      <c r="AA133" s="295"/>
      <c r="AB133" s="295"/>
      <c r="AC133" s="295"/>
      <c r="AD133" s="295"/>
      <c r="AE133" s="298">
        <v>0</v>
      </c>
      <c r="AF133" s="298"/>
      <c r="AG133" s="298"/>
      <c r="AH133" s="298"/>
      <c r="AI133" s="298"/>
      <c r="AJ133" s="298"/>
      <c r="AK133" s="333">
        <f>ROUND((AE133*(((AK$120+AK$124+AK$146)/$J$6))),2)</f>
        <v>0</v>
      </c>
      <c r="AL133" s="333"/>
      <c r="AM133" s="333"/>
      <c r="AN133" s="333"/>
      <c r="AO133" s="333"/>
      <c r="AP133" s="333"/>
      <c r="AQ133" s="333"/>
      <c r="AR133" s="333"/>
      <c r="AS133" s="333"/>
      <c r="AT133" s="333"/>
      <c r="AU133" s="333"/>
    </row>
    <row r="134" spans="2:47">
      <c r="B134" s="327"/>
      <c r="C134" s="327"/>
      <c r="D134" s="327"/>
      <c r="E134" s="295" t="s">
        <v>129</v>
      </c>
      <c r="F134" s="295"/>
      <c r="G134" s="295"/>
      <c r="H134" s="295"/>
      <c r="I134" s="295"/>
      <c r="J134" s="295"/>
      <c r="K134" s="295"/>
      <c r="L134" s="295"/>
      <c r="M134" s="295"/>
      <c r="N134" s="295"/>
      <c r="O134" s="295"/>
      <c r="P134" s="295"/>
      <c r="Q134" s="295"/>
      <c r="R134" s="295"/>
      <c r="S134" s="295"/>
      <c r="T134" s="295"/>
      <c r="U134" s="295"/>
      <c r="V134" s="295"/>
      <c r="W134" s="295"/>
      <c r="X134" s="295"/>
      <c r="Y134" s="295"/>
      <c r="Z134" s="295"/>
      <c r="AA134" s="295"/>
      <c r="AB134" s="295"/>
      <c r="AC134" s="295"/>
      <c r="AD134" s="295"/>
      <c r="AE134" s="298">
        <v>0</v>
      </c>
      <c r="AF134" s="298"/>
      <c r="AG134" s="298"/>
      <c r="AH134" s="298"/>
      <c r="AI134" s="298"/>
      <c r="AJ134" s="298"/>
      <c r="AK134" s="333">
        <f>ROUND((AE134*(((AK$120+AK$124+AK$146)/$J$6))),2)</f>
        <v>0</v>
      </c>
      <c r="AL134" s="333"/>
      <c r="AM134" s="333"/>
      <c r="AN134" s="333"/>
      <c r="AO134" s="333"/>
      <c r="AP134" s="333"/>
      <c r="AQ134" s="333"/>
      <c r="AR134" s="333"/>
      <c r="AS134" s="333"/>
      <c r="AT134" s="333"/>
      <c r="AU134" s="333"/>
    </row>
    <row r="135" spans="2:47">
      <c r="B135" s="327"/>
      <c r="C135" s="327"/>
      <c r="D135" s="327"/>
      <c r="E135" s="295" t="s">
        <v>130</v>
      </c>
      <c r="F135" s="295"/>
      <c r="G135" s="295"/>
      <c r="H135" s="295"/>
      <c r="I135" s="295"/>
      <c r="J135" s="295"/>
      <c r="K135" s="295"/>
      <c r="L135" s="295"/>
      <c r="M135" s="295"/>
      <c r="N135" s="295"/>
      <c r="O135" s="295"/>
      <c r="P135" s="295"/>
      <c r="Q135" s="295"/>
      <c r="R135" s="295"/>
      <c r="S135" s="295"/>
      <c r="T135" s="295"/>
      <c r="U135" s="295"/>
      <c r="V135" s="295"/>
      <c r="W135" s="295"/>
      <c r="X135" s="295"/>
      <c r="Y135" s="295"/>
      <c r="Z135" s="295"/>
      <c r="AA135" s="295"/>
      <c r="AB135" s="295"/>
      <c r="AC135" s="295"/>
      <c r="AD135" s="295"/>
      <c r="AE135" s="298">
        <v>0</v>
      </c>
      <c r="AF135" s="298"/>
      <c r="AG135" s="298"/>
      <c r="AH135" s="298"/>
      <c r="AI135" s="298"/>
      <c r="AJ135" s="298"/>
      <c r="AK135" s="333">
        <f>ROUND((AE135*(((AK$120+AK$124+AK$146)/$J$6))),2)</f>
        <v>0</v>
      </c>
      <c r="AL135" s="333"/>
      <c r="AM135" s="333"/>
      <c r="AN135" s="333"/>
      <c r="AO135" s="333"/>
      <c r="AP135" s="333"/>
      <c r="AQ135" s="333"/>
      <c r="AR135" s="333"/>
      <c r="AS135" s="333"/>
      <c r="AT135" s="333"/>
      <c r="AU135" s="333"/>
    </row>
    <row r="136" spans="2:47">
      <c r="B136" s="327"/>
      <c r="C136" s="327"/>
      <c r="D136" s="327"/>
      <c r="E136" s="330" t="s">
        <v>131</v>
      </c>
      <c r="F136" s="330"/>
      <c r="G136" s="330"/>
      <c r="H136" s="330"/>
      <c r="I136" s="330"/>
      <c r="J136" s="330"/>
      <c r="K136" s="330"/>
      <c r="L136" s="330"/>
      <c r="M136" s="330"/>
      <c r="N136" s="330"/>
      <c r="O136" s="330"/>
      <c r="P136" s="330"/>
      <c r="Q136" s="330"/>
      <c r="R136" s="330"/>
      <c r="S136" s="330"/>
      <c r="T136" s="330"/>
      <c r="U136" s="330"/>
      <c r="V136" s="330"/>
      <c r="W136" s="330"/>
      <c r="X136" s="330"/>
      <c r="Y136" s="330"/>
      <c r="Z136" s="330"/>
      <c r="AA136" s="330"/>
      <c r="AB136" s="330"/>
      <c r="AC136" s="330"/>
      <c r="AD136" s="330"/>
      <c r="AE136" s="331">
        <f>SUM(AE137:AJ140)</f>
        <v>0.05</v>
      </c>
      <c r="AF136" s="331"/>
      <c r="AG136" s="331"/>
      <c r="AH136" s="331"/>
      <c r="AI136" s="331"/>
      <c r="AJ136" s="331"/>
      <c r="AK136" s="332">
        <f>SUM(AK137:AU140)</f>
        <v>170.72</v>
      </c>
      <c r="AL136" s="332"/>
      <c r="AM136" s="332"/>
      <c r="AN136" s="332"/>
      <c r="AO136" s="332"/>
      <c r="AP136" s="332"/>
      <c r="AQ136" s="332"/>
      <c r="AR136" s="332"/>
      <c r="AS136" s="332"/>
      <c r="AT136" s="332"/>
      <c r="AU136" s="332"/>
    </row>
    <row r="137" spans="2:47">
      <c r="B137" s="327"/>
      <c r="C137" s="327"/>
      <c r="D137" s="327"/>
      <c r="E137" s="295" t="s">
        <v>132</v>
      </c>
      <c r="F137" s="295"/>
      <c r="G137" s="295"/>
      <c r="H137" s="295"/>
      <c r="I137" s="295"/>
      <c r="J137" s="295"/>
      <c r="K137" s="295"/>
      <c r="L137" s="295"/>
      <c r="M137" s="295"/>
      <c r="N137" s="295"/>
      <c r="O137" s="295"/>
      <c r="P137" s="295"/>
      <c r="Q137" s="295"/>
      <c r="R137" s="295"/>
      <c r="S137" s="295"/>
      <c r="T137" s="295"/>
      <c r="U137" s="295"/>
      <c r="V137" s="295"/>
      <c r="W137" s="295"/>
      <c r="X137" s="295"/>
      <c r="Y137" s="295"/>
      <c r="Z137" s="295"/>
      <c r="AA137" s="295"/>
      <c r="AB137" s="295"/>
      <c r="AC137" s="295"/>
      <c r="AD137" s="295"/>
      <c r="AE137" s="298">
        <v>0.05</v>
      </c>
      <c r="AF137" s="298"/>
      <c r="AG137" s="298"/>
      <c r="AH137" s="298"/>
      <c r="AI137" s="298"/>
      <c r="AJ137" s="298"/>
      <c r="AK137" s="333">
        <f>ROUND((AE137*(((AK$120+AK$124+AK$146)/$J$6))),2)</f>
        <v>170.72</v>
      </c>
      <c r="AL137" s="333"/>
      <c r="AM137" s="333"/>
      <c r="AN137" s="333"/>
      <c r="AO137" s="333"/>
      <c r="AP137" s="333"/>
      <c r="AQ137" s="333"/>
      <c r="AR137" s="333"/>
      <c r="AS137" s="333"/>
      <c r="AT137" s="333"/>
      <c r="AU137" s="333"/>
    </row>
    <row r="138" spans="2:47">
      <c r="B138" s="327"/>
      <c r="C138" s="327"/>
      <c r="D138" s="327"/>
      <c r="E138" s="295" t="s">
        <v>133</v>
      </c>
      <c r="F138" s="295"/>
      <c r="G138" s="295"/>
      <c r="H138" s="295"/>
      <c r="I138" s="295"/>
      <c r="J138" s="295"/>
      <c r="K138" s="295"/>
      <c r="L138" s="295"/>
      <c r="M138" s="295"/>
      <c r="N138" s="295"/>
      <c r="O138" s="295"/>
      <c r="P138" s="295"/>
      <c r="Q138" s="295"/>
      <c r="R138" s="295"/>
      <c r="S138" s="295"/>
      <c r="T138" s="295"/>
      <c r="U138" s="295"/>
      <c r="V138" s="295"/>
      <c r="W138" s="295"/>
      <c r="X138" s="295"/>
      <c r="Y138" s="295"/>
      <c r="Z138" s="295"/>
      <c r="AA138" s="295"/>
      <c r="AB138" s="295"/>
      <c r="AC138" s="295"/>
      <c r="AD138" s="295"/>
      <c r="AE138" s="298">
        <v>0</v>
      </c>
      <c r="AF138" s="298"/>
      <c r="AG138" s="298"/>
      <c r="AH138" s="298"/>
      <c r="AI138" s="298"/>
      <c r="AJ138" s="298"/>
      <c r="AK138" s="333">
        <f>ROUND((AE138*(((AK$120+AK$124+AK$146)/$J$6))),2)</f>
        <v>0</v>
      </c>
      <c r="AL138" s="333"/>
      <c r="AM138" s="333"/>
      <c r="AN138" s="333"/>
      <c r="AO138" s="333"/>
      <c r="AP138" s="333"/>
      <c r="AQ138" s="333"/>
      <c r="AR138" s="333"/>
      <c r="AS138" s="333"/>
      <c r="AT138" s="333"/>
      <c r="AU138" s="333"/>
    </row>
    <row r="139" spans="2:47">
      <c r="B139" s="327"/>
      <c r="C139" s="327"/>
      <c r="D139" s="327"/>
      <c r="E139" s="295" t="s">
        <v>134</v>
      </c>
      <c r="F139" s="295"/>
      <c r="G139" s="295"/>
      <c r="H139" s="295"/>
      <c r="I139" s="295"/>
      <c r="J139" s="295"/>
      <c r="K139" s="295"/>
      <c r="L139" s="295"/>
      <c r="M139" s="295"/>
      <c r="N139" s="295"/>
      <c r="O139" s="295"/>
      <c r="P139" s="295"/>
      <c r="Q139" s="295"/>
      <c r="R139" s="295"/>
      <c r="S139" s="295"/>
      <c r="T139" s="295"/>
      <c r="U139" s="295"/>
      <c r="V139" s="295"/>
      <c r="W139" s="295"/>
      <c r="X139" s="295"/>
      <c r="Y139" s="295"/>
      <c r="Z139" s="295"/>
      <c r="AA139" s="295"/>
      <c r="AB139" s="295"/>
      <c r="AC139" s="295"/>
      <c r="AD139" s="295"/>
      <c r="AE139" s="298">
        <v>0</v>
      </c>
      <c r="AF139" s="298"/>
      <c r="AG139" s="298"/>
      <c r="AH139" s="298"/>
      <c r="AI139" s="298"/>
      <c r="AJ139" s="298"/>
      <c r="AK139" s="333">
        <f>ROUND((AE139*(((AK$120+AK$124+AK$146)/$J$6))),2)</f>
        <v>0</v>
      </c>
      <c r="AL139" s="333"/>
      <c r="AM139" s="333"/>
      <c r="AN139" s="333"/>
      <c r="AO139" s="333"/>
      <c r="AP139" s="333"/>
      <c r="AQ139" s="333"/>
      <c r="AR139" s="333"/>
      <c r="AS139" s="333"/>
      <c r="AT139" s="333"/>
      <c r="AU139" s="333"/>
    </row>
    <row r="140" spans="2:47">
      <c r="B140" s="327"/>
      <c r="C140" s="327"/>
      <c r="D140" s="327"/>
      <c r="E140" s="295" t="s">
        <v>135</v>
      </c>
      <c r="F140" s="295"/>
      <c r="G140" s="295"/>
      <c r="H140" s="295"/>
      <c r="I140" s="295"/>
      <c r="J140" s="295"/>
      <c r="K140" s="295"/>
      <c r="L140" s="295"/>
      <c r="M140" s="295"/>
      <c r="N140" s="295"/>
      <c r="O140" s="295"/>
      <c r="P140" s="295"/>
      <c r="Q140" s="295"/>
      <c r="R140" s="295"/>
      <c r="S140" s="295"/>
      <c r="T140" s="295"/>
      <c r="U140" s="295"/>
      <c r="V140" s="295"/>
      <c r="W140" s="295"/>
      <c r="X140" s="295"/>
      <c r="Y140" s="295"/>
      <c r="Z140" s="295"/>
      <c r="AA140" s="295"/>
      <c r="AB140" s="295"/>
      <c r="AC140" s="295"/>
      <c r="AD140" s="295"/>
      <c r="AE140" s="298">
        <v>0</v>
      </c>
      <c r="AF140" s="298"/>
      <c r="AG140" s="298"/>
      <c r="AH140" s="298"/>
      <c r="AI140" s="298"/>
      <c r="AJ140" s="298"/>
      <c r="AK140" s="333">
        <f>ROUND((AE140*(((AK$120+AK$124+AK$146)/$J$6))),2)</f>
        <v>0</v>
      </c>
      <c r="AL140" s="333"/>
      <c r="AM140" s="333"/>
      <c r="AN140" s="333"/>
      <c r="AO140" s="333"/>
      <c r="AP140" s="333"/>
      <c r="AQ140" s="333"/>
      <c r="AR140" s="333"/>
      <c r="AS140" s="333"/>
      <c r="AT140" s="333"/>
      <c r="AU140" s="333"/>
    </row>
    <row r="141" spans="2:47">
      <c r="B141" s="327"/>
      <c r="C141" s="327"/>
      <c r="D141" s="327"/>
      <c r="E141" s="330" t="s">
        <v>136</v>
      </c>
      <c r="F141" s="330"/>
      <c r="G141" s="330"/>
      <c r="H141" s="330"/>
      <c r="I141" s="330"/>
      <c r="J141" s="330"/>
      <c r="K141" s="330"/>
      <c r="L141" s="330"/>
      <c r="M141" s="330"/>
      <c r="N141" s="330"/>
      <c r="O141" s="330"/>
      <c r="P141" s="330"/>
      <c r="Q141" s="330"/>
      <c r="R141" s="330"/>
      <c r="S141" s="330"/>
      <c r="T141" s="330"/>
      <c r="U141" s="330"/>
      <c r="V141" s="330"/>
      <c r="W141" s="330"/>
      <c r="X141" s="330"/>
      <c r="Y141" s="330"/>
      <c r="Z141" s="330"/>
      <c r="AA141" s="330"/>
      <c r="AB141" s="330"/>
      <c r="AC141" s="330"/>
      <c r="AD141" s="330"/>
      <c r="AE141" s="331">
        <f>SUM(AE142:AJ145)</f>
        <v>0</v>
      </c>
      <c r="AF141" s="331"/>
      <c r="AG141" s="331"/>
      <c r="AH141" s="331"/>
      <c r="AI141" s="331"/>
      <c r="AJ141" s="331"/>
      <c r="AK141" s="332">
        <f>SUM(AK142:AU145)</f>
        <v>0</v>
      </c>
      <c r="AL141" s="332"/>
      <c r="AM141" s="332"/>
      <c r="AN141" s="332"/>
      <c r="AO141" s="332"/>
      <c r="AP141" s="332"/>
      <c r="AQ141" s="332"/>
      <c r="AR141" s="332"/>
      <c r="AS141" s="332"/>
      <c r="AT141" s="332"/>
      <c r="AU141" s="332"/>
    </row>
    <row r="142" spans="2:47">
      <c r="B142" s="327"/>
      <c r="C142" s="327"/>
      <c r="D142" s="327"/>
      <c r="E142" s="295" t="s">
        <v>137</v>
      </c>
      <c r="F142" s="295"/>
      <c r="G142" s="295"/>
      <c r="H142" s="295"/>
      <c r="I142" s="295"/>
      <c r="J142" s="295"/>
      <c r="K142" s="295"/>
      <c r="L142" s="295"/>
      <c r="M142" s="295"/>
      <c r="N142" s="295"/>
      <c r="O142" s="295"/>
      <c r="P142" s="295"/>
      <c r="Q142" s="295"/>
      <c r="R142" s="295"/>
      <c r="S142" s="295"/>
      <c r="T142" s="295"/>
      <c r="U142" s="295"/>
      <c r="V142" s="295"/>
      <c r="W142" s="295"/>
      <c r="X142" s="295"/>
      <c r="Y142" s="295"/>
      <c r="Z142" s="295"/>
      <c r="AA142" s="295"/>
      <c r="AB142" s="295"/>
      <c r="AC142" s="295"/>
      <c r="AD142" s="295"/>
      <c r="AE142" s="298">
        <v>0</v>
      </c>
      <c r="AF142" s="298"/>
      <c r="AG142" s="298"/>
      <c r="AH142" s="298"/>
      <c r="AI142" s="298"/>
      <c r="AJ142" s="298"/>
      <c r="AK142" s="333">
        <f>ROUND((AE142*(((AK$120+AK$124+AK$146)/$J$6))),2)</f>
        <v>0</v>
      </c>
      <c r="AL142" s="333"/>
      <c r="AM142" s="333"/>
      <c r="AN142" s="333"/>
      <c r="AO142" s="333"/>
      <c r="AP142" s="333"/>
      <c r="AQ142" s="333"/>
      <c r="AR142" s="333"/>
      <c r="AS142" s="333"/>
      <c r="AT142" s="333"/>
      <c r="AU142" s="333"/>
    </row>
    <row r="143" spans="2:47">
      <c r="B143" s="327"/>
      <c r="C143" s="327"/>
      <c r="D143" s="327"/>
      <c r="E143" s="295" t="s">
        <v>138</v>
      </c>
      <c r="F143" s="295"/>
      <c r="G143" s="295"/>
      <c r="H143" s="295"/>
      <c r="I143" s="295"/>
      <c r="J143" s="295"/>
      <c r="K143" s="295"/>
      <c r="L143" s="295"/>
      <c r="M143" s="295"/>
      <c r="N143" s="295"/>
      <c r="O143" s="295"/>
      <c r="P143" s="295"/>
      <c r="Q143" s="295"/>
      <c r="R143" s="295"/>
      <c r="S143" s="295"/>
      <c r="T143" s="295"/>
      <c r="U143" s="295"/>
      <c r="V143" s="295"/>
      <c r="W143" s="295"/>
      <c r="X143" s="295"/>
      <c r="Y143" s="295"/>
      <c r="Z143" s="295"/>
      <c r="AA143" s="295"/>
      <c r="AB143" s="295"/>
      <c r="AC143" s="295"/>
      <c r="AD143" s="295"/>
      <c r="AE143" s="298">
        <v>0</v>
      </c>
      <c r="AF143" s="298"/>
      <c r="AG143" s="298"/>
      <c r="AH143" s="298"/>
      <c r="AI143" s="298"/>
      <c r="AJ143" s="298"/>
      <c r="AK143" s="333">
        <f>ROUND((AE143*(((AK$120+AK$124+AK$146)/$J$6))),2)</f>
        <v>0</v>
      </c>
      <c r="AL143" s="333"/>
      <c r="AM143" s="333"/>
      <c r="AN143" s="333"/>
      <c r="AO143" s="333"/>
      <c r="AP143" s="333"/>
      <c r="AQ143" s="333"/>
      <c r="AR143" s="333"/>
      <c r="AS143" s="333"/>
      <c r="AT143" s="333"/>
      <c r="AU143" s="333"/>
    </row>
    <row r="144" spans="2:47">
      <c r="B144" s="327"/>
      <c r="C144" s="327"/>
      <c r="D144" s="327"/>
      <c r="E144" s="295" t="s">
        <v>139</v>
      </c>
      <c r="F144" s="295"/>
      <c r="G144" s="295"/>
      <c r="H144" s="295"/>
      <c r="I144" s="295"/>
      <c r="J144" s="295"/>
      <c r="K144" s="295"/>
      <c r="L144" s="295"/>
      <c r="M144" s="295"/>
      <c r="N144" s="295"/>
      <c r="O144" s="295"/>
      <c r="P144" s="295"/>
      <c r="Q144" s="295"/>
      <c r="R144" s="295"/>
      <c r="S144" s="295"/>
      <c r="T144" s="295"/>
      <c r="U144" s="295"/>
      <c r="V144" s="295"/>
      <c r="W144" s="295"/>
      <c r="X144" s="295"/>
      <c r="Y144" s="295"/>
      <c r="Z144" s="295"/>
      <c r="AA144" s="295"/>
      <c r="AB144" s="295"/>
      <c r="AC144" s="295"/>
      <c r="AD144" s="295"/>
      <c r="AE144" s="298">
        <v>0</v>
      </c>
      <c r="AF144" s="298"/>
      <c r="AG144" s="298"/>
      <c r="AH144" s="298"/>
      <c r="AI144" s="298"/>
      <c r="AJ144" s="298"/>
      <c r="AK144" s="333">
        <f>ROUND((AE144*(((AK$120+AK$124+AK$146)/$J$6))),2)</f>
        <v>0</v>
      </c>
      <c r="AL144" s="333"/>
      <c r="AM144" s="333"/>
      <c r="AN144" s="333"/>
      <c r="AO144" s="333"/>
      <c r="AP144" s="333"/>
      <c r="AQ144" s="333"/>
      <c r="AR144" s="333"/>
      <c r="AS144" s="333"/>
      <c r="AT144" s="333"/>
      <c r="AU144" s="333"/>
    </row>
    <row r="145" spans="2:47">
      <c r="B145" s="327"/>
      <c r="C145" s="327"/>
      <c r="D145" s="327"/>
      <c r="E145" s="295" t="s">
        <v>140</v>
      </c>
      <c r="F145" s="295"/>
      <c r="G145" s="295"/>
      <c r="H145" s="295"/>
      <c r="I145" s="295"/>
      <c r="J145" s="295"/>
      <c r="K145" s="295"/>
      <c r="L145" s="295"/>
      <c r="M145" s="295"/>
      <c r="N145" s="295"/>
      <c r="O145" s="295"/>
      <c r="P145" s="295"/>
      <c r="Q145" s="295"/>
      <c r="R145" s="295"/>
      <c r="S145" s="295"/>
      <c r="T145" s="295"/>
      <c r="U145" s="295"/>
      <c r="V145" s="295"/>
      <c r="W145" s="295"/>
      <c r="X145" s="295"/>
      <c r="Y145" s="295"/>
      <c r="Z145" s="295"/>
      <c r="AA145" s="295"/>
      <c r="AB145" s="295"/>
      <c r="AC145" s="295"/>
      <c r="AD145" s="295"/>
      <c r="AE145" s="298">
        <v>0</v>
      </c>
      <c r="AF145" s="298"/>
      <c r="AG145" s="298"/>
      <c r="AH145" s="298"/>
      <c r="AI145" s="298"/>
      <c r="AJ145" s="298"/>
      <c r="AK145" s="333">
        <f>ROUND((AE145*(((AK$120+AK$124+AK$146)/$J$6))),2)</f>
        <v>0</v>
      </c>
      <c r="AL145" s="333"/>
      <c r="AM145" s="333"/>
      <c r="AN145" s="333"/>
      <c r="AO145" s="333"/>
      <c r="AP145" s="333"/>
      <c r="AQ145" s="333"/>
      <c r="AR145" s="333"/>
      <c r="AS145" s="333"/>
      <c r="AT145" s="333"/>
      <c r="AU145" s="333"/>
    </row>
    <row r="146" spans="2:47">
      <c r="B146" s="284" t="s">
        <v>11</v>
      </c>
      <c r="C146" s="284"/>
      <c r="D146" s="284"/>
      <c r="E146" s="324" t="s">
        <v>141</v>
      </c>
      <c r="F146" s="324"/>
      <c r="G146" s="324"/>
      <c r="H146" s="324"/>
      <c r="I146" s="324"/>
      <c r="J146" s="324"/>
      <c r="K146" s="324"/>
      <c r="L146" s="324"/>
      <c r="M146" s="324"/>
      <c r="N146" s="324"/>
      <c r="O146" s="324"/>
      <c r="P146" s="324"/>
      <c r="Q146" s="324"/>
      <c r="R146" s="324"/>
      <c r="S146" s="324"/>
      <c r="T146" s="324"/>
      <c r="U146" s="324"/>
      <c r="V146" s="324"/>
      <c r="W146" s="324"/>
      <c r="X146" s="324"/>
      <c r="Y146" s="324"/>
      <c r="Z146" s="324"/>
      <c r="AA146" s="324"/>
      <c r="AB146" s="324"/>
      <c r="AC146" s="324"/>
      <c r="AD146" s="324"/>
      <c r="AE146" s="325">
        <v>0.1</v>
      </c>
      <c r="AF146" s="325"/>
      <c r="AG146" s="325"/>
      <c r="AH146" s="325"/>
      <c r="AI146" s="325"/>
      <c r="AJ146" s="325"/>
      <c r="AK146" s="326">
        <f>ROUND((($AK$120+$AK$124)*AE146),2)</f>
        <v>286.20999999999998</v>
      </c>
      <c r="AL146" s="326"/>
      <c r="AM146" s="326"/>
      <c r="AN146" s="326"/>
      <c r="AO146" s="326"/>
      <c r="AP146" s="326"/>
      <c r="AQ146" s="326"/>
      <c r="AR146" s="326"/>
      <c r="AS146" s="326"/>
      <c r="AT146" s="326"/>
      <c r="AU146" s="326"/>
    </row>
    <row r="147" spans="2:47">
      <c r="B147" s="302" t="s">
        <v>142</v>
      </c>
      <c r="C147" s="302"/>
      <c r="D147" s="302"/>
      <c r="E147" s="302"/>
      <c r="F147" s="302"/>
      <c r="G147" s="302"/>
      <c r="H147" s="302"/>
      <c r="I147" s="302"/>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13">
        <f>ROUND((AK124+AK125+AK146),2)</f>
        <v>739.43</v>
      </c>
      <c r="AL147" s="313"/>
      <c r="AM147" s="313"/>
      <c r="AN147" s="313"/>
      <c r="AO147" s="313"/>
      <c r="AP147" s="313"/>
      <c r="AQ147" s="313"/>
      <c r="AR147" s="313"/>
      <c r="AS147" s="313"/>
      <c r="AT147" s="313"/>
      <c r="AU147" s="313"/>
    </row>
    <row r="149" spans="2:47">
      <c r="B149" s="321" t="s">
        <v>143</v>
      </c>
      <c r="C149" s="321"/>
      <c r="D149" s="321"/>
      <c r="E149" s="321"/>
      <c r="F149" s="321"/>
      <c r="G149" s="321"/>
      <c r="H149" s="321"/>
      <c r="I149" s="321"/>
      <c r="J149" s="321"/>
      <c r="K149" s="321"/>
      <c r="L149" s="321"/>
      <c r="M149" s="321"/>
      <c r="N149" s="321"/>
      <c r="O149" s="321"/>
      <c r="P149" s="321"/>
      <c r="Q149" s="321"/>
      <c r="R149" s="321"/>
      <c r="S149" s="321"/>
      <c r="T149" s="321"/>
      <c r="U149" s="321"/>
      <c r="V149" s="321"/>
      <c r="W149" s="321"/>
      <c r="X149" s="321"/>
      <c r="Y149" s="321"/>
      <c r="Z149" s="321"/>
      <c r="AA149" s="321"/>
      <c r="AB149" s="321"/>
      <c r="AC149" s="321"/>
      <c r="AD149" s="321"/>
      <c r="AE149" s="321"/>
      <c r="AF149" s="321"/>
      <c r="AG149" s="321"/>
      <c r="AH149" s="321"/>
      <c r="AI149" s="321"/>
      <c r="AJ149" s="321"/>
      <c r="AK149" s="321"/>
      <c r="AL149" s="321"/>
      <c r="AM149" s="321"/>
      <c r="AN149" s="321"/>
      <c r="AO149" s="321"/>
      <c r="AP149" s="321"/>
      <c r="AQ149" s="321"/>
      <c r="AR149" s="321"/>
      <c r="AS149" s="321"/>
      <c r="AT149" s="321"/>
      <c r="AU149" s="321"/>
    </row>
    <row r="150" spans="2:47">
      <c r="B150" s="291" t="s">
        <v>144</v>
      </c>
      <c r="C150" s="291"/>
      <c r="D150" s="291"/>
      <c r="E150" s="291"/>
      <c r="F150" s="291"/>
      <c r="G150" s="291"/>
      <c r="H150" s="291"/>
      <c r="I150" s="291"/>
      <c r="J150" s="291"/>
      <c r="K150" s="291"/>
      <c r="L150" s="291"/>
      <c r="M150" s="291"/>
      <c r="N150" s="291"/>
      <c r="O150" s="291"/>
      <c r="P150" s="291"/>
      <c r="Q150" s="291"/>
      <c r="R150" s="291"/>
      <c r="S150" s="291"/>
      <c r="T150" s="291"/>
      <c r="U150" s="291"/>
      <c r="V150" s="291"/>
      <c r="W150" s="291"/>
      <c r="X150" s="291"/>
      <c r="Y150" s="291"/>
      <c r="Z150" s="291"/>
      <c r="AA150" s="291"/>
      <c r="AB150" s="291"/>
      <c r="AC150" s="291"/>
      <c r="AD150" s="291"/>
      <c r="AE150" s="291"/>
      <c r="AF150" s="291"/>
      <c r="AG150" s="291"/>
      <c r="AH150" s="291"/>
      <c r="AI150" s="291"/>
      <c r="AJ150" s="291"/>
      <c r="AK150" s="291" t="s">
        <v>24</v>
      </c>
      <c r="AL150" s="291"/>
      <c r="AM150" s="291"/>
      <c r="AN150" s="291"/>
      <c r="AO150" s="291"/>
      <c r="AP150" s="291"/>
      <c r="AQ150" s="291"/>
      <c r="AR150" s="291"/>
      <c r="AS150" s="291"/>
      <c r="AT150" s="291"/>
      <c r="AU150" s="291"/>
    </row>
    <row r="151" spans="2:47">
      <c r="B151" s="284" t="s">
        <v>7</v>
      </c>
      <c r="C151" s="284"/>
      <c r="D151" s="284"/>
      <c r="E151" s="295" t="s">
        <v>145</v>
      </c>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334"/>
      <c r="AF151" s="334"/>
      <c r="AG151" s="334"/>
      <c r="AH151" s="334"/>
      <c r="AI151" s="334"/>
      <c r="AJ151" s="334"/>
      <c r="AK151" s="299">
        <f>ROUND(AK41,2)</f>
        <v>1170</v>
      </c>
      <c r="AL151" s="299"/>
      <c r="AM151" s="299"/>
      <c r="AN151" s="299"/>
      <c r="AO151" s="299"/>
      <c r="AP151" s="299"/>
      <c r="AQ151" s="299"/>
      <c r="AR151" s="299"/>
      <c r="AS151" s="299"/>
      <c r="AT151" s="299"/>
      <c r="AU151" s="299"/>
    </row>
    <row r="152" spans="2:47">
      <c r="B152" s="284" t="s">
        <v>9</v>
      </c>
      <c r="C152" s="284"/>
      <c r="D152" s="284"/>
      <c r="E152" s="295" t="s">
        <v>146</v>
      </c>
      <c r="F152" s="295"/>
      <c r="G152" s="295"/>
      <c r="H152" s="295"/>
      <c r="I152" s="295"/>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334"/>
      <c r="AF152" s="334"/>
      <c r="AG152" s="334"/>
      <c r="AH152" s="334"/>
      <c r="AI152" s="334"/>
      <c r="AJ152" s="334"/>
      <c r="AK152" s="299">
        <f>ROUND(AK51,2)</f>
        <v>509.74</v>
      </c>
      <c r="AL152" s="299"/>
      <c r="AM152" s="299"/>
      <c r="AN152" s="299"/>
      <c r="AO152" s="299"/>
      <c r="AP152" s="299"/>
      <c r="AQ152" s="299"/>
      <c r="AR152" s="299"/>
      <c r="AS152" s="299"/>
      <c r="AT152" s="299"/>
      <c r="AU152" s="299"/>
    </row>
    <row r="153" spans="2:47">
      <c r="B153" s="284" t="s">
        <v>11</v>
      </c>
      <c r="C153" s="284"/>
      <c r="D153" s="284"/>
      <c r="E153" s="295" t="s">
        <v>147</v>
      </c>
      <c r="F153" s="295"/>
      <c r="G153" s="295"/>
      <c r="H153" s="295"/>
      <c r="I153" s="295"/>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334"/>
      <c r="AF153" s="334"/>
      <c r="AG153" s="334"/>
      <c r="AH153" s="334"/>
      <c r="AI153" s="334"/>
      <c r="AJ153" s="334"/>
      <c r="AK153" s="299">
        <f>ROUND(AK59,2)</f>
        <v>212.2</v>
      </c>
      <c r="AL153" s="299"/>
      <c r="AM153" s="299"/>
      <c r="AN153" s="299"/>
      <c r="AO153" s="299"/>
      <c r="AP153" s="299"/>
      <c r="AQ153" s="299"/>
      <c r="AR153" s="299"/>
      <c r="AS153" s="299"/>
      <c r="AT153" s="299"/>
      <c r="AU153" s="299"/>
    </row>
    <row r="154" spans="2:47">
      <c r="B154" s="284" t="s">
        <v>13</v>
      </c>
      <c r="C154" s="284"/>
      <c r="D154" s="284"/>
      <c r="E154" s="295" t="s">
        <v>110</v>
      </c>
      <c r="F154" s="295"/>
      <c r="G154" s="295"/>
      <c r="H154" s="295"/>
      <c r="I154" s="295"/>
      <c r="J154" s="295"/>
      <c r="K154" s="295"/>
      <c r="L154" s="295"/>
      <c r="M154" s="295"/>
      <c r="N154" s="295"/>
      <c r="O154" s="295"/>
      <c r="P154" s="295"/>
      <c r="Q154" s="295"/>
      <c r="R154" s="295"/>
      <c r="S154" s="295"/>
      <c r="T154" s="295"/>
      <c r="U154" s="295"/>
      <c r="V154" s="295"/>
      <c r="W154" s="295"/>
      <c r="X154" s="295"/>
      <c r="Y154" s="295"/>
      <c r="Z154" s="295"/>
      <c r="AA154" s="295"/>
      <c r="AB154" s="295"/>
      <c r="AC154" s="295"/>
      <c r="AD154" s="295"/>
      <c r="AE154" s="334"/>
      <c r="AF154" s="334"/>
      <c r="AG154" s="334"/>
      <c r="AH154" s="334"/>
      <c r="AI154" s="334"/>
      <c r="AJ154" s="334"/>
      <c r="AK154" s="299">
        <f>ROUND(AK119,2)</f>
        <v>782.94</v>
      </c>
      <c r="AL154" s="299"/>
      <c r="AM154" s="299"/>
      <c r="AN154" s="299"/>
      <c r="AO154" s="299"/>
      <c r="AP154" s="299"/>
      <c r="AQ154" s="299"/>
      <c r="AR154" s="299"/>
      <c r="AS154" s="299"/>
      <c r="AT154" s="299"/>
      <c r="AU154" s="299"/>
    </row>
    <row r="155" spans="2:47">
      <c r="B155" s="314" t="s">
        <v>81</v>
      </c>
      <c r="C155" s="314"/>
      <c r="D155" s="314"/>
      <c r="E155" s="314"/>
      <c r="F155" s="314"/>
      <c r="G155" s="314"/>
      <c r="H155" s="314"/>
      <c r="I155" s="314"/>
      <c r="J155" s="314"/>
      <c r="K155" s="314"/>
      <c r="L155" s="314"/>
      <c r="M155" s="314"/>
      <c r="N155" s="314"/>
      <c r="O155" s="314"/>
      <c r="P155" s="314"/>
      <c r="Q155" s="314"/>
      <c r="R155" s="314"/>
      <c r="S155" s="314"/>
      <c r="T155" s="314"/>
      <c r="U155" s="314"/>
      <c r="V155" s="314"/>
      <c r="W155" s="314"/>
      <c r="X155" s="314"/>
      <c r="Y155" s="314"/>
      <c r="Z155" s="314"/>
      <c r="AA155" s="314"/>
      <c r="AB155" s="314"/>
      <c r="AC155" s="314"/>
      <c r="AD155" s="314"/>
      <c r="AE155" s="335"/>
      <c r="AF155" s="335"/>
      <c r="AG155" s="335"/>
      <c r="AH155" s="335"/>
      <c r="AI155" s="335"/>
      <c r="AJ155" s="335"/>
      <c r="AK155" s="316">
        <f>ROUND(SUM(AK151:AU154),2)</f>
        <v>2674.88</v>
      </c>
      <c r="AL155" s="316"/>
      <c r="AM155" s="316"/>
      <c r="AN155" s="316"/>
      <c r="AO155" s="316"/>
      <c r="AP155" s="316"/>
      <c r="AQ155" s="316"/>
      <c r="AR155" s="316"/>
      <c r="AS155" s="316"/>
      <c r="AT155" s="316"/>
      <c r="AU155" s="316"/>
    </row>
    <row r="156" spans="2:47">
      <c r="B156" s="284" t="s">
        <v>37</v>
      </c>
      <c r="C156" s="284"/>
      <c r="D156" s="284"/>
      <c r="E156" s="295" t="s">
        <v>148</v>
      </c>
      <c r="F156" s="295"/>
      <c r="G156" s="295"/>
      <c r="H156" s="295"/>
      <c r="I156" s="295"/>
      <c r="J156" s="295"/>
      <c r="K156" s="295"/>
      <c r="L156" s="295"/>
      <c r="M156" s="295"/>
      <c r="N156" s="295"/>
      <c r="O156" s="295"/>
      <c r="P156" s="295"/>
      <c r="Q156" s="295"/>
      <c r="R156" s="295"/>
      <c r="S156" s="295"/>
      <c r="T156" s="295"/>
      <c r="U156" s="295"/>
      <c r="V156" s="295"/>
      <c r="W156" s="295"/>
      <c r="X156" s="295"/>
      <c r="Y156" s="295"/>
      <c r="Z156" s="295"/>
      <c r="AA156" s="295"/>
      <c r="AB156" s="295"/>
      <c r="AC156" s="295"/>
      <c r="AD156" s="295"/>
      <c r="AE156" s="336"/>
      <c r="AF156" s="336"/>
      <c r="AG156" s="336"/>
      <c r="AH156" s="336"/>
      <c r="AI156" s="336"/>
      <c r="AJ156" s="336"/>
      <c r="AK156" s="299">
        <f>ROUND(AK147,2)</f>
        <v>739.43</v>
      </c>
      <c r="AL156" s="299"/>
      <c r="AM156" s="299"/>
      <c r="AN156" s="299"/>
      <c r="AO156" s="299"/>
      <c r="AP156" s="299"/>
      <c r="AQ156" s="299"/>
      <c r="AR156" s="299"/>
      <c r="AS156" s="299"/>
      <c r="AT156" s="299"/>
      <c r="AU156" s="299"/>
    </row>
    <row r="157" spans="2:47">
      <c r="B157" s="302" t="s">
        <v>149</v>
      </c>
      <c r="C157" s="302"/>
      <c r="D157" s="302"/>
      <c r="E157" s="302"/>
      <c r="F157" s="302"/>
      <c r="G157" s="302"/>
      <c r="H157" s="302"/>
      <c r="I157" s="302"/>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c r="AF157" s="302"/>
      <c r="AG157" s="302"/>
      <c r="AH157" s="302"/>
      <c r="AI157" s="302"/>
      <c r="AJ157" s="302"/>
      <c r="AK157" s="313">
        <f>ROUND(AK155+AK156,2)</f>
        <v>3414.31</v>
      </c>
      <c r="AL157" s="313"/>
      <c r="AM157" s="313"/>
      <c r="AN157" s="313"/>
      <c r="AO157" s="313"/>
      <c r="AP157" s="313"/>
      <c r="AQ157" s="313"/>
      <c r="AR157" s="313"/>
      <c r="AS157" s="313"/>
      <c r="AT157" s="313"/>
      <c r="AU157" s="313"/>
    </row>
    <row r="158" spans="2:47">
      <c r="B158" s="302" t="s">
        <v>150</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c r="AH158" s="302"/>
      <c r="AI158" s="302"/>
      <c r="AJ158" s="302"/>
      <c r="AK158" s="313">
        <f>IF(AK41=0,0,ROUND(AK157/AK41,2))</f>
        <v>2.92</v>
      </c>
      <c r="AL158" s="313"/>
      <c r="AM158" s="313"/>
      <c r="AN158" s="313"/>
      <c r="AO158" s="313"/>
      <c r="AP158" s="313"/>
      <c r="AQ158" s="313"/>
      <c r="AR158" s="313"/>
      <c r="AS158" s="313"/>
      <c r="AT158" s="313"/>
      <c r="AU158" s="313"/>
    </row>
  </sheetData>
  <sheetProtection sheet="1"/>
  <mergeCells count="449">
    <mergeCell ref="B155:AD155"/>
    <mergeCell ref="AE155:AJ155"/>
    <mergeCell ref="AK155:AU155"/>
    <mergeCell ref="B158:AJ158"/>
    <mergeCell ref="AK158:AU158"/>
    <mergeCell ref="B156:D156"/>
    <mergeCell ref="E156:AD156"/>
    <mergeCell ref="AE156:AJ156"/>
    <mergeCell ref="AK156:AU156"/>
    <mergeCell ref="B157:AJ157"/>
    <mergeCell ref="AK157:AU157"/>
    <mergeCell ref="B152:D152"/>
    <mergeCell ref="E152:AD152"/>
    <mergeCell ref="AE152:AJ152"/>
    <mergeCell ref="AK152:AU152"/>
    <mergeCell ref="B153:D153"/>
    <mergeCell ref="E153:AD153"/>
    <mergeCell ref="AE153:AJ153"/>
    <mergeCell ref="AK153:AU153"/>
    <mergeCell ref="B154:D154"/>
    <mergeCell ref="E154:AD154"/>
    <mergeCell ref="AE154:AJ154"/>
    <mergeCell ref="AK154:AU154"/>
    <mergeCell ref="B147:AJ147"/>
    <mergeCell ref="AK147:AU147"/>
    <mergeCell ref="B149:AU149"/>
    <mergeCell ref="B150:AJ150"/>
    <mergeCell ref="AK150:AU150"/>
    <mergeCell ref="B151:D151"/>
    <mergeCell ref="E151:AD151"/>
    <mergeCell ref="AE151:AJ151"/>
    <mergeCell ref="AK151:AU151"/>
    <mergeCell ref="E144:AD144"/>
    <mergeCell ref="AE144:AJ144"/>
    <mergeCell ref="AK144:AU144"/>
    <mergeCell ref="E145:AD145"/>
    <mergeCell ref="AE145:AJ145"/>
    <mergeCell ref="AK145:AU145"/>
    <mergeCell ref="B146:D146"/>
    <mergeCell ref="E146:AD146"/>
    <mergeCell ref="AE146:AJ146"/>
    <mergeCell ref="AK146:AU146"/>
    <mergeCell ref="E141:AD141"/>
    <mergeCell ref="AE141:AJ141"/>
    <mergeCell ref="AK141:AU141"/>
    <mergeCell ref="E142:AD142"/>
    <mergeCell ref="AE142:AJ142"/>
    <mergeCell ref="AK142:AU142"/>
    <mergeCell ref="E143:AD143"/>
    <mergeCell ref="AE143:AJ143"/>
    <mergeCell ref="AK143:AU143"/>
    <mergeCell ref="E138:AD138"/>
    <mergeCell ref="AE138:AJ138"/>
    <mergeCell ref="AK138:AU138"/>
    <mergeCell ref="E139:AD139"/>
    <mergeCell ref="AE139:AJ139"/>
    <mergeCell ref="AK139:AU139"/>
    <mergeCell ref="E140:AD140"/>
    <mergeCell ref="AE140:AJ140"/>
    <mergeCell ref="AK140:AU140"/>
    <mergeCell ref="E135:AD135"/>
    <mergeCell ref="AE135:AJ135"/>
    <mergeCell ref="AK135:AU135"/>
    <mergeCell ref="E136:AD136"/>
    <mergeCell ref="AE136:AJ136"/>
    <mergeCell ref="AK136:AU136"/>
    <mergeCell ref="E137:AD137"/>
    <mergeCell ref="AE137:AJ137"/>
    <mergeCell ref="AK137:AU137"/>
    <mergeCell ref="AE131:AJ131"/>
    <mergeCell ref="AK131:AU131"/>
    <mergeCell ref="E132:AD132"/>
    <mergeCell ref="AE132:AJ132"/>
    <mergeCell ref="AK132:AU132"/>
    <mergeCell ref="E133:AD133"/>
    <mergeCell ref="AE133:AJ133"/>
    <mergeCell ref="AK133:AU133"/>
    <mergeCell ref="E134:AD134"/>
    <mergeCell ref="AE134:AJ134"/>
    <mergeCell ref="AK134:AU134"/>
    <mergeCell ref="B124:D124"/>
    <mergeCell ref="E124:AD124"/>
    <mergeCell ref="AE124:AJ124"/>
    <mergeCell ref="AK124:AU124"/>
    <mergeCell ref="B125:D145"/>
    <mergeCell ref="E125:AD125"/>
    <mergeCell ref="AE125:AJ125"/>
    <mergeCell ref="AK125:AU125"/>
    <mergeCell ref="E126:AD126"/>
    <mergeCell ref="AE126:AJ126"/>
    <mergeCell ref="AK126:AU126"/>
    <mergeCell ref="E127:AD127"/>
    <mergeCell ref="AE127:AJ127"/>
    <mergeCell ref="AK127:AU127"/>
    <mergeCell ref="E128:AD128"/>
    <mergeCell ref="AE128:AJ128"/>
    <mergeCell ref="AK128:AU128"/>
    <mergeCell ref="E129:AD129"/>
    <mergeCell ref="AE129:AJ129"/>
    <mergeCell ref="AK129:AU129"/>
    <mergeCell ref="E130:AD130"/>
    <mergeCell ref="AE130:AJ130"/>
    <mergeCell ref="AK130:AU130"/>
    <mergeCell ref="E131:AD131"/>
    <mergeCell ref="B119:AD119"/>
    <mergeCell ref="AE119:AJ119"/>
    <mergeCell ref="AK119:AU119"/>
    <mergeCell ref="B120:AJ120"/>
    <mergeCell ref="AK120:AU120"/>
    <mergeCell ref="B122:AU122"/>
    <mergeCell ref="B123:D123"/>
    <mergeCell ref="E123:AD123"/>
    <mergeCell ref="AE123:AJ123"/>
    <mergeCell ref="AK123:AU123"/>
    <mergeCell ref="B116:D116"/>
    <mergeCell ref="E116:AD116"/>
    <mergeCell ref="AE116:AJ116"/>
    <mergeCell ref="AK116:AU116"/>
    <mergeCell ref="B117:D117"/>
    <mergeCell ref="E117:AD117"/>
    <mergeCell ref="AE117:AJ117"/>
    <mergeCell ref="AK117:AU117"/>
    <mergeCell ref="B118:D118"/>
    <mergeCell ref="E118:AD118"/>
    <mergeCell ref="AE118:AJ118"/>
    <mergeCell ref="AK118:AU118"/>
    <mergeCell ref="B113:D113"/>
    <mergeCell ref="E113:AD113"/>
    <mergeCell ref="AE113:AJ113"/>
    <mergeCell ref="AK113:AU113"/>
    <mergeCell ref="B114:D114"/>
    <mergeCell ref="E114:AD114"/>
    <mergeCell ref="AE114:AJ114"/>
    <mergeCell ref="AK114:AU114"/>
    <mergeCell ref="B115:D115"/>
    <mergeCell ref="E115:AD115"/>
    <mergeCell ref="AE115:AJ115"/>
    <mergeCell ref="AK115:AU115"/>
    <mergeCell ref="B108:D108"/>
    <mergeCell ref="E108:AD108"/>
    <mergeCell ref="AE108:AJ108"/>
    <mergeCell ref="AK108:AU108"/>
    <mergeCell ref="B109:AD109"/>
    <mergeCell ref="AE109:AJ109"/>
    <mergeCell ref="AK109:AU109"/>
    <mergeCell ref="B111:AU111"/>
    <mergeCell ref="B112:D112"/>
    <mergeCell ref="E112:AD112"/>
    <mergeCell ref="AE112:AJ112"/>
    <mergeCell ref="AK112:AU112"/>
    <mergeCell ref="B105:D105"/>
    <mergeCell ref="E105:AD105"/>
    <mergeCell ref="AE105:AJ105"/>
    <mergeCell ref="AK105:AU105"/>
    <mergeCell ref="B106:D106"/>
    <mergeCell ref="E106:AD106"/>
    <mergeCell ref="AE106:AJ106"/>
    <mergeCell ref="AK106:AU106"/>
    <mergeCell ref="B107:AD107"/>
    <mergeCell ref="AE107:AJ107"/>
    <mergeCell ref="AK107:AU107"/>
    <mergeCell ref="B102:D102"/>
    <mergeCell ref="E102:AD102"/>
    <mergeCell ref="AE102:AJ102"/>
    <mergeCell ref="AK102:AU102"/>
    <mergeCell ref="B103:D103"/>
    <mergeCell ref="E103:AD103"/>
    <mergeCell ref="AE103:AJ103"/>
    <mergeCell ref="AK103:AU103"/>
    <mergeCell ref="B104:D104"/>
    <mergeCell ref="E104:AD104"/>
    <mergeCell ref="AE104:AJ104"/>
    <mergeCell ref="AK104:AU104"/>
    <mergeCell ref="B99:AU99"/>
    <mergeCell ref="B100:D100"/>
    <mergeCell ref="E100:AD100"/>
    <mergeCell ref="AE100:AJ100"/>
    <mergeCell ref="AK100:AU100"/>
    <mergeCell ref="B101:D101"/>
    <mergeCell ref="E101:AD101"/>
    <mergeCell ref="AE101:AJ101"/>
    <mergeCell ref="AK101:AU101"/>
    <mergeCell ref="B95:D95"/>
    <mergeCell ref="E95:AD95"/>
    <mergeCell ref="AE95:AJ95"/>
    <mergeCell ref="AK95:AU95"/>
    <mergeCell ref="B96:D96"/>
    <mergeCell ref="E96:AD96"/>
    <mergeCell ref="AE96:AJ96"/>
    <mergeCell ref="AK96:AU96"/>
    <mergeCell ref="B97:AD97"/>
    <mergeCell ref="AE97:AJ97"/>
    <mergeCell ref="AK97:AU97"/>
    <mergeCell ref="B92:D92"/>
    <mergeCell ref="E92:AD92"/>
    <mergeCell ref="AE92:AJ92"/>
    <mergeCell ref="AK92:AU92"/>
    <mergeCell ref="B93:D93"/>
    <mergeCell ref="E93:AD93"/>
    <mergeCell ref="AE93:AJ93"/>
    <mergeCell ref="AK93:AU93"/>
    <mergeCell ref="B94:D94"/>
    <mergeCell ref="E94:AD94"/>
    <mergeCell ref="AE94:AJ94"/>
    <mergeCell ref="AK94:AU94"/>
    <mergeCell ref="B87:AD87"/>
    <mergeCell ref="AE87:AJ87"/>
    <mergeCell ref="AK87:AU87"/>
    <mergeCell ref="B89:AU89"/>
    <mergeCell ref="B90:D90"/>
    <mergeCell ref="E90:AD90"/>
    <mergeCell ref="AE90:AJ90"/>
    <mergeCell ref="AK90:AU90"/>
    <mergeCell ref="B91:D91"/>
    <mergeCell ref="E91:AD91"/>
    <mergeCell ref="AE91:AJ91"/>
    <mergeCell ref="AK91:AU91"/>
    <mergeCell ref="B84:D84"/>
    <mergeCell ref="E84:AD84"/>
    <mergeCell ref="AE84:AJ84"/>
    <mergeCell ref="AK84:AU84"/>
    <mergeCell ref="B85:D85"/>
    <mergeCell ref="E85:AD85"/>
    <mergeCell ref="AE85:AJ85"/>
    <mergeCell ref="AK85:AU85"/>
    <mergeCell ref="B86:D86"/>
    <mergeCell ref="E86:AD86"/>
    <mergeCell ref="AE86:AJ86"/>
    <mergeCell ref="AK86:AU86"/>
    <mergeCell ref="B79:D79"/>
    <mergeCell ref="E79:AD79"/>
    <mergeCell ref="AE79:AJ79"/>
    <mergeCell ref="AK79:AU79"/>
    <mergeCell ref="B80:AD80"/>
    <mergeCell ref="AE80:AJ80"/>
    <mergeCell ref="AK80:AU80"/>
    <mergeCell ref="B82:AU82"/>
    <mergeCell ref="B83:D83"/>
    <mergeCell ref="E83:AD83"/>
    <mergeCell ref="AE83:AJ83"/>
    <mergeCell ref="AK83:AU83"/>
    <mergeCell ref="B76:D76"/>
    <mergeCell ref="E76:AD76"/>
    <mergeCell ref="AE76:AJ76"/>
    <mergeCell ref="AK76:AU76"/>
    <mergeCell ref="B77:D77"/>
    <mergeCell ref="E77:AD77"/>
    <mergeCell ref="AE77:AJ77"/>
    <mergeCell ref="AK77:AU77"/>
    <mergeCell ref="B78:AD78"/>
    <mergeCell ref="AE78:AJ78"/>
    <mergeCell ref="AK78:AU78"/>
    <mergeCell ref="B71:D71"/>
    <mergeCell ref="E71:AD71"/>
    <mergeCell ref="AE71:AJ71"/>
    <mergeCell ref="AK71:AU71"/>
    <mergeCell ref="B72:AD72"/>
    <mergeCell ref="AE72:AJ72"/>
    <mergeCell ref="AK72:AU72"/>
    <mergeCell ref="B74:AU74"/>
    <mergeCell ref="B75:D75"/>
    <mergeCell ref="E75:AD75"/>
    <mergeCell ref="AE75:AJ75"/>
    <mergeCell ref="AK75:AU75"/>
    <mergeCell ref="B68:D68"/>
    <mergeCell ref="E68:AD68"/>
    <mergeCell ref="AE68:AJ68"/>
    <mergeCell ref="AK68:AU68"/>
    <mergeCell ref="B69:D69"/>
    <mergeCell ref="E69:AD69"/>
    <mergeCell ref="AE69:AJ69"/>
    <mergeCell ref="AK69:AU69"/>
    <mergeCell ref="B70:D70"/>
    <mergeCell ref="E70:AD70"/>
    <mergeCell ref="AE70:AJ70"/>
    <mergeCell ref="AK70:AU70"/>
    <mergeCell ref="B65:D65"/>
    <mergeCell ref="E65:AD65"/>
    <mergeCell ref="AE65:AJ65"/>
    <mergeCell ref="AK65:AU65"/>
    <mergeCell ref="B66:D66"/>
    <mergeCell ref="E66:AD66"/>
    <mergeCell ref="AE66:AJ66"/>
    <mergeCell ref="AK66:AU66"/>
    <mergeCell ref="B67:D67"/>
    <mergeCell ref="E67:AD67"/>
    <mergeCell ref="AE67:AJ67"/>
    <mergeCell ref="AK67:AU67"/>
    <mergeCell ref="B59:AJ59"/>
    <mergeCell ref="AK59:AU59"/>
    <mergeCell ref="B61:AU61"/>
    <mergeCell ref="B62:AU62"/>
    <mergeCell ref="B63:D63"/>
    <mergeCell ref="E63:AD63"/>
    <mergeCell ref="AE63:AJ63"/>
    <mergeCell ref="AK63:AU63"/>
    <mergeCell ref="B64:D64"/>
    <mergeCell ref="E64:AD64"/>
    <mergeCell ref="AE64:AJ64"/>
    <mergeCell ref="AK64:AU64"/>
    <mergeCell ref="B56:D56"/>
    <mergeCell ref="E56:AD56"/>
    <mergeCell ref="AE56:AJ56"/>
    <mergeCell ref="AK56:AU56"/>
    <mergeCell ref="B57:D57"/>
    <mergeCell ref="E57:AD57"/>
    <mergeCell ref="AE57:AJ57"/>
    <mergeCell ref="AK57:AU57"/>
    <mergeCell ref="B58:D58"/>
    <mergeCell ref="E58:AD58"/>
    <mergeCell ref="AE58:AJ58"/>
    <mergeCell ref="AK58:AU58"/>
    <mergeCell ref="B51:AJ51"/>
    <mergeCell ref="AK51:AU51"/>
    <mergeCell ref="B53:AU53"/>
    <mergeCell ref="B54:D54"/>
    <mergeCell ref="E54:AD54"/>
    <mergeCell ref="AE54:AJ54"/>
    <mergeCell ref="AK54:AU54"/>
    <mergeCell ref="B55:D55"/>
    <mergeCell ref="E55:AD55"/>
    <mergeCell ref="AE55:AJ55"/>
    <mergeCell ref="AK55:AU55"/>
    <mergeCell ref="B48:D48"/>
    <mergeCell ref="E48:AD48"/>
    <mergeCell ref="AE48:AJ48"/>
    <mergeCell ref="AK48:AU48"/>
    <mergeCell ref="B49:D49"/>
    <mergeCell ref="E49:AD49"/>
    <mergeCell ref="AE49:AJ49"/>
    <mergeCell ref="AK49:AU49"/>
    <mergeCell ref="B50:D50"/>
    <mergeCell ref="E50:AD50"/>
    <mergeCell ref="AE50:AJ50"/>
    <mergeCell ref="AK50:AU50"/>
    <mergeCell ref="B45:D45"/>
    <mergeCell ref="E45:AD45"/>
    <mergeCell ref="AE45:AJ45"/>
    <mergeCell ref="AK45:AU45"/>
    <mergeCell ref="B46:D46"/>
    <mergeCell ref="E46:AD46"/>
    <mergeCell ref="AE46:AJ46"/>
    <mergeCell ref="AK46:AU46"/>
    <mergeCell ref="B47:D47"/>
    <mergeCell ref="E47:AD47"/>
    <mergeCell ref="AE47:AJ47"/>
    <mergeCell ref="AK47:AU47"/>
    <mergeCell ref="B40:D40"/>
    <mergeCell ref="E40:AD40"/>
    <mergeCell ref="AE40:AJ40"/>
    <mergeCell ref="AK40:AU40"/>
    <mergeCell ref="B41:AJ41"/>
    <mergeCell ref="AK41:AU41"/>
    <mergeCell ref="B43:AU43"/>
    <mergeCell ref="B44:D44"/>
    <mergeCell ref="E44:AD44"/>
    <mergeCell ref="AE44:AJ44"/>
    <mergeCell ref="AK44:AU44"/>
    <mergeCell ref="B37:D37"/>
    <mergeCell ref="E37:AD37"/>
    <mergeCell ref="AE37:AJ37"/>
    <mergeCell ref="AK37:AU37"/>
    <mergeCell ref="B38:D38"/>
    <mergeCell ref="E38:AD38"/>
    <mergeCell ref="AE38:AJ38"/>
    <mergeCell ref="AK38:AU38"/>
    <mergeCell ref="B39:D39"/>
    <mergeCell ref="E39:AD39"/>
    <mergeCell ref="AE39:AJ39"/>
    <mergeCell ref="AK39:AU39"/>
    <mergeCell ref="B34:D34"/>
    <mergeCell ref="E34:AD34"/>
    <mergeCell ref="AE34:AJ34"/>
    <mergeCell ref="AK34:AU34"/>
    <mergeCell ref="B35:D35"/>
    <mergeCell ref="E35:AD35"/>
    <mergeCell ref="AE35:AJ35"/>
    <mergeCell ref="AK35:AU35"/>
    <mergeCell ref="B36:D36"/>
    <mergeCell ref="E36:AD36"/>
    <mergeCell ref="AE36:AJ36"/>
    <mergeCell ref="AK36:AU36"/>
    <mergeCell ref="B31:AU31"/>
    <mergeCell ref="B32:D32"/>
    <mergeCell ref="E32:AD32"/>
    <mergeCell ref="AE32:AJ32"/>
    <mergeCell ref="AK32:AU32"/>
    <mergeCell ref="B33:D33"/>
    <mergeCell ref="E33:AD33"/>
    <mergeCell ref="AE33:AJ33"/>
    <mergeCell ref="AK33:AU33"/>
    <mergeCell ref="B27:D27"/>
    <mergeCell ref="E27:AD27"/>
    <mergeCell ref="AE27:AJ27"/>
    <mergeCell ref="AK27:AU27"/>
    <mergeCell ref="B28:D28"/>
    <mergeCell ref="E28:AD28"/>
    <mergeCell ref="AE28:AJ28"/>
    <mergeCell ref="AK28:AU28"/>
    <mergeCell ref="B29:D29"/>
    <mergeCell ref="E29:AD29"/>
    <mergeCell ref="AE29:AJ29"/>
    <mergeCell ref="AK29:AU29"/>
    <mergeCell ref="B22:AU22"/>
    <mergeCell ref="B23:AU23"/>
    <mergeCell ref="B24:AU24"/>
    <mergeCell ref="AE25:AJ25"/>
    <mergeCell ref="AK25:AU25"/>
    <mergeCell ref="B26:D26"/>
    <mergeCell ref="E26:AD26"/>
    <mergeCell ref="AE26:AJ26"/>
    <mergeCell ref="AK26:AU26"/>
    <mergeCell ref="B18:L18"/>
    <mergeCell ref="M18:W18"/>
    <mergeCell ref="X18:AU18"/>
    <mergeCell ref="B19:L19"/>
    <mergeCell ref="M19:W19"/>
    <mergeCell ref="X19:AU19"/>
    <mergeCell ref="B20:L20"/>
    <mergeCell ref="M20:W20"/>
    <mergeCell ref="X20:AU20"/>
    <mergeCell ref="B12:D12"/>
    <mergeCell ref="E12:AJ12"/>
    <mergeCell ref="AK12:AU12"/>
    <mergeCell ref="B14:AU14"/>
    <mergeCell ref="B15:L16"/>
    <mergeCell ref="M15:W16"/>
    <mergeCell ref="X15:AU16"/>
    <mergeCell ref="B17:L17"/>
    <mergeCell ref="M17:W17"/>
    <mergeCell ref="X17:AU17"/>
    <mergeCell ref="B9:D9"/>
    <mergeCell ref="E9:AJ9"/>
    <mergeCell ref="AK9:AU9"/>
    <mergeCell ref="B10:D10"/>
    <mergeCell ref="E10:AJ10"/>
    <mergeCell ref="AK10:AU10"/>
    <mergeCell ref="B11:D11"/>
    <mergeCell ref="E11:AJ11"/>
    <mergeCell ref="AK11:AU11"/>
    <mergeCell ref="B2:AU2"/>
    <mergeCell ref="B3:AU3"/>
    <mergeCell ref="B5:I5"/>
    <mergeCell ref="K5:Q5"/>
    <mergeCell ref="AK5:AU5"/>
    <mergeCell ref="B6:I6"/>
    <mergeCell ref="J6:Q6"/>
    <mergeCell ref="AK6:AU6"/>
    <mergeCell ref="B8:AU8"/>
  </mergeCells>
  <printOptions horizontalCentered="1"/>
  <pageMargins left="0.59027777777777779" right="0.59027777777777779" top="0.59027777777777779" bottom="0.59027777777777779" header="0.51181102362204722" footer="0.51181102362204722"/>
  <pageSetup paperSize="9" scale="74" firstPageNumber="0" orientation="portrait" horizontalDpi="300" verticalDpi="300"/>
  <headerFooter alignWithMargins="0"/>
  <rowBreaks count="2" manualBreakCount="2">
    <brk id="73" max="16383" man="1"/>
    <brk id="121"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7"/>
  <sheetViews>
    <sheetView workbookViewId="0">
      <selection activeCell="D4" sqref="D4"/>
    </sheetView>
  </sheetViews>
  <sheetFormatPr defaultRowHeight="12.75"/>
  <cols>
    <col min="1" max="1" width="24.5703125" customWidth="1"/>
    <col min="2" max="2" width="45" customWidth="1"/>
    <col min="3" max="3" width="8" customWidth="1"/>
    <col min="4" max="4" width="5.7109375" customWidth="1"/>
    <col min="5" max="5" width="7.85546875" customWidth="1"/>
    <col min="6" max="6" width="7.5703125" customWidth="1"/>
    <col min="9" max="10" width="6" customWidth="1"/>
    <col min="11" max="11" width="9.28515625" customWidth="1"/>
    <col min="12" max="12" width="7.28515625" customWidth="1"/>
    <col min="13" max="14" width="6" customWidth="1"/>
  </cols>
  <sheetData>
    <row r="1" spans="1:14" ht="15.75">
      <c r="A1" s="11" t="s">
        <v>151</v>
      </c>
      <c r="B1" s="12"/>
      <c r="C1" s="12"/>
    </row>
    <row r="2" spans="1:14">
      <c r="A2" s="12"/>
      <c r="B2" s="12"/>
      <c r="C2" s="12"/>
    </row>
    <row r="3" spans="1:14">
      <c r="A3" s="12"/>
      <c r="B3" s="13" t="s">
        <v>152</v>
      </c>
      <c r="C3" s="14">
        <f>ROUND((F15)/220,2)</f>
        <v>5.27</v>
      </c>
    </row>
    <row r="4" spans="1:14">
      <c r="A4" s="12"/>
      <c r="B4" s="13" t="s">
        <v>153</v>
      </c>
      <c r="C4" s="15">
        <f>ROUND(C3*D4,2)</f>
        <v>7.91</v>
      </c>
      <c r="D4" s="16">
        <v>1.5</v>
      </c>
    </row>
    <row r="5" spans="1:14">
      <c r="A5" s="12"/>
      <c r="B5" s="13" t="s">
        <v>154</v>
      </c>
      <c r="C5" s="15">
        <f>ROUND(365.25/12,2)</f>
        <v>30.44</v>
      </c>
    </row>
    <row r="6" spans="1:14">
      <c r="A6" s="12"/>
      <c r="B6" s="13" t="s">
        <v>155</v>
      </c>
      <c r="C6" s="15">
        <f>ROUND(C3*0.2,2)</f>
        <v>1.05</v>
      </c>
    </row>
    <row r="7" spans="1:14">
      <c r="B7" s="17" t="s">
        <v>156</v>
      </c>
      <c r="C7" s="18">
        <f>C5/7</f>
        <v>4.3485714285714288</v>
      </c>
    </row>
    <row r="8" spans="1:14">
      <c r="B8" s="17" t="s">
        <v>157</v>
      </c>
      <c r="C8" s="18">
        <f>C7+1</f>
        <v>5.3485714285714288</v>
      </c>
    </row>
    <row r="9" spans="1:14">
      <c r="B9" s="17" t="s">
        <v>158</v>
      </c>
      <c r="C9" s="18">
        <f>C5-C8</f>
        <v>25.091428571428573</v>
      </c>
    </row>
    <row r="11" spans="1:14" ht="25.5">
      <c r="A11" s="19" t="s">
        <v>159</v>
      </c>
      <c r="B11" s="19" t="s">
        <v>160</v>
      </c>
      <c r="C11" s="19" t="s">
        <v>161</v>
      </c>
      <c r="D11" s="19" t="s">
        <v>162</v>
      </c>
      <c r="E11" s="20" t="s">
        <v>163</v>
      </c>
      <c r="F11" s="19" t="s">
        <v>164</v>
      </c>
      <c r="G11" s="12"/>
      <c r="H11" s="12"/>
      <c r="I11" s="12"/>
      <c r="J11" s="12"/>
      <c r="K11" s="12"/>
      <c r="L11" s="12"/>
      <c r="M11" s="12"/>
      <c r="N11" s="12"/>
    </row>
    <row r="12" spans="1:14">
      <c r="A12" s="21" t="s">
        <v>165</v>
      </c>
      <c r="B12" s="21" t="s">
        <v>166</v>
      </c>
      <c r="C12" s="22" t="s">
        <v>167</v>
      </c>
      <c r="D12" s="23">
        <v>1</v>
      </c>
      <c r="E12" s="24">
        <v>966.53</v>
      </c>
      <c r="F12" s="25">
        <f>ROUND(E12*D12,2)</f>
        <v>966.53</v>
      </c>
      <c r="G12" s="12"/>
      <c r="H12" s="12"/>
      <c r="I12" s="26"/>
      <c r="J12" s="27"/>
      <c r="K12" s="28"/>
      <c r="L12" s="12"/>
      <c r="M12" s="12"/>
      <c r="N12" s="12"/>
    </row>
    <row r="13" spans="1:14">
      <c r="A13" s="29" t="s">
        <v>168</v>
      </c>
      <c r="B13" s="29" t="s">
        <v>166</v>
      </c>
      <c r="C13" s="30" t="s">
        <v>169</v>
      </c>
      <c r="D13" s="31">
        <v>0.2</v>
      </c>
      <c r="E13" s="32">
        <f>E12</f>
        <v>966.53</v>
      </c>
      <c r="F13" s="32">
        <f>ROUND(E13*D13,2)</f>
        <v>193.31</v>
      </c>
      <c r="G13" s="12"/>
      <c r="H13" s="12"/>
      <c r="I13" s="12"/>
      <c r="J13" s="12"/>
      <c r="K13" s="33"/>
      <c r="L13" s="12"/>
      <c r="M13" s="12"/>
      <c r="N13" s="12"/>
    </row>
    <row r="14" spans="1:14">
      <c r="A14" s="29" t="s">
        <v>170</v>
      </c>
      <c r="B14" s="29" t="s">
        <v>171</v>
      </c>
      <c r="C14" s="30" t="s">
        <v>169</v>
      </c>
      <c r="D14" s="31">
        <v>0</v>
      </c>
      <c r="E14" s="32">
        <f>E13</f>
        <v>966.53</v>
      </c>
      <c r="F14" s="32">
        <f>ROUND(E14*D14,2)</f>
        <v>0</v>
      </c>
      <c r="G14" s="12"/>
      <c r="H14" s="12"/>
      <c r="I14" s="12"/>
      <c r="J14" s="12"/>
      <c r="K14" s="33"/>
      <c r="L14" s="12"/>
      <c r="M14" s="12"/>
      <c r="N14" s="12"/>
    </row>
    <row r="15" spans="1:14">
      <c r="A15" s="34" t="s">
        <v>172</v>
      </c>
      <c r="B15" s="35"/>
      <c r="C15" s="36"/>
      <c r="D15" s="37"/>
      <c r="E15" s="37"/>
      <c r="F15" s="38">
        <f>SUM(F12:F14)</f>
        <v>1159.8399999999999</v>
      </c>
      <c r="G15" s="12"/>
      <c r="H15" s="12"/>
      <c r="I15" s="39"/>
      <c r="J15" s="40"/>
      <c r="K15" s="41"/>
      <c r="L15" s="41"/>
      <c r="M15" s="12"/>
      <c r="N15" s="12"/>
    </row>
    <row r="16" spans="1:14" ht="76.5">
      <c r="A16" s="42" t="s">
        <v>173</v>
      </c>
      <c r="B16" s="42" t="s">
        <v>174</v>
      </c>
      <c r="C16" s="43" t="s">
        <v>175</v>
      </c>
      <c r="D16" s="44">
        <f>C5/F23</f>
        <v>15.22</v>
      </c>
      <c r="E16" s="44">
        <f>C4</f>
        <v>7.91</v>
      </c>
      <c r="F16" s="44">
        <f t="shared" ref="F16:F21" si="0">ROUND(E16*D16,2)</f>
        <v>120.39</v>
      </c>
      <c r="G16" s="12"/>
      <c r="H16" s="12"/>
      <c r="I16" s="39"/>
      <c r="J16" s="40"/>
      <c r="K16" s="33"/>
      <c r="L16" s="41"/>
      <c r="M16" s="12"/>
      <c r="N16" s="12"/>
    </row>
    <row r="17" spans="1:14" ht="108.75" customHeight="1">
      <c r="A17" s="21" t="s">
        <v>176</v>
      </c>
      <c r="B17" s="21" t="s">
        <v>177</v>
      </c>
      <c r="C17" s="22" t="s">
        <v>175</v>
      </c>
      <c r="D17" s="25">
        <v>139.11000000000001</v>
      </c>
      <c r="E17" s="25">
        <f>C6</f>
        <v>1.05</v>
      </c>
      <c r="F17" s="25">
        <f t="shared" si="0"/>
        <v>146.07</v>
      </c>
      <c r="G17" s="12"/>
      <c r="H17" s="12"/>
      <c r="I17" s="39"/>
      <c r="J17" s="39"/>
      <c r="K17" s="12"/>
      <c r="L17" s="40"/>
      <c r="M17" s="12"/>
      <c r="N17" s="12"/>
    </row>
    <row r="18" spans="1:14" ht="46.5" customHeight="1">
      <c r="A18" s="21" t="s">
        <v>178</v>
      </c>
      <c r="B18" s="21" t="s">
        <v>179</v>
      </c>
      <c r="C18" s="22" t="s">
        <v>175</v>
      </c>
      <c r="D18" s="25">
        <v>17.350000000000001</v>
      </c>
      <c r="E18" s="25">
        <f>C4</f>
        <v>7.91</v>
      </c>
      <c r="F18" s="25">
        <f t="shared" si="0"/>
        <v>137.24</v>
      </c>
      <c r="G18" s="12"/>
      <c r="H18" s="26"/>
      <c r="I18" s="12"/>
      <c r="J18" s="12"/>
      <c r="K18" s="12"/>
      <c r="L18" s="12"/>
      <c r="M18" s="12"/>
      <c r="N18" s="12"/>
    </row>
    <row r="19" spans="1:14" ht="57" customHeight="1">
      <c r="A19" s="21" t="s">
        <v>180</v>
      </c>
      <c r="B19" s="21" t="s">
        <v>181</v>
      </c>
      <c r="C19" s="22" t="s">
        <v>175</v>
      </c>
      <c r="D19" s="25">
        <v>7.07</v>
      </c>
      <c r="E19" s="25">
        <f>C3</f>
        <v>5.27</v>
      </c>
      <c r="F19" s="25">
        <f t="shared" si="0"/>
        <v>37.26</v>
      </c>
      <c r="G19" s="12"/>
      <c r="H19" s="39"/>
      <c r="I19" s="12"/>
      <c r="J19" s="12"/>
      <c r="K19" s="12"/>
      <c r="L19" s="12"/>
      <c r="M19" s="12"/>
      <c r="N19" s="12"/>
    </row>
    <row r="20" spans="1:14" ht="69.75" customHeight="1">
      <c r="A20" s="21" t="s">
        <v>182</v>
      </c>
      <c r="B20" s="21" t="s">
        <v>183</v>
      </c>
      <c r="C20" s="22" t="s">
        <v>184</v>
      </c>
      <c r="D20" s="25">
        <v>5.35</v>
      </c>
      <c r="E20" s="25">
        <f>ROUND((F16+F17+F18)/25.09,2)</f>
        <v>16.09</v>
      </c>
      <c r="F20" s="25">
        <f t="shared" si="0"/>
        <v>86.08</v>
      </c>
      <c r="G20" s="12"/>
      <c r="H20" s="12"/>
      <c r="I20" s="12"/>
      <c r="J20" s="12"/>
      <c r="K20" s="45"/>
      <c r="L20" s="12"/>
      <c r="M20" s="12"/>
      <c r="N20" s="12"/>
    </row>
    <row r="21" spans="1:14" ht="18.75" customHeight="1">
      <c r="A21" s="29" t="s">
        <v>185</v>
      </c>
      <c r="B21" s="29" t="s">
        <v>186</v>
      </c>
      <c r="C21" s="30" t="s">
        <v>175</v>
      </c>
      <c r="D21" s="32">
        <v>180</v>
      </c>
      <c r="E21" s="32">
        <v>0.09</v>
      </c>
      <c r="F21" s="32">
        <f t="shared" si="0"/>
        <v>16.2</v>
      </c>
      <c r="G21" s="12"/>
      <c r="H21" s="12"/>
      <c r="I21" s="12"/>
      <c r="J21" s="12"/>
      <c r="K21" s="12"/>
      <c r="L21" s="12"/>
      <c r="M21" s="12"/>
      <c r="N21" s="12"/>
    </row>
    <row r="22" spans="1:14">
      <c r="A22" s="34" t="s">
        <v>187</v>
      </c>
      <c r="B22" s="35"/>
      <c r="C22" s="37"/>
      <c r="D22" s="37"/>
      <c r="E22" s="46"/>
      <c r="F22" s="38">
        <f>SUM(F15:F21)</f>
        <v>1703.08</v>
      </c>
      <c r="G22" s="47"/>
      <c r="H22" s="48"/>
      <c r="I22" s="48"/>
      <c r="J22" s="48"/>
      <c r="K22" s="48"/>
      <c r="L22" s="12"/>
    </row>
    <row r="23" spans="1:14">
      <c r="A23" s="34" t="s">
        <v>188</v>
      </c>
      <c r="B23" s="35"/>
      <c r="C23" s="37"/>
      <c r="D23" s="37"/>
      <c r="E23" s="46"/>
      <c r="F23" s="49">
        <v>2</v>
      </c>
      <c r="G23" s="47"/>
      <c r="H23" s="48"/>
      <c r="I23" s="48"/>
      <c r="J23" s="48"/>
      <c r="K23" s="50"/>
      <c r="L23" s="12"/>
    </row>
    <row r="24" spans="1:14">
      <c r="A24" s="34" t="s">
        <v>189</v>
      </c>
      <c r="B24" s="35"/>
      <c r="C24" s="37"/>
      <c r="D24" s="37"/>
      <c r="E24" s="46"/>
      <c r="F24" s="38">
        <f>F23*F22</f>
        <v>3406.16</v>
      </c>
      <c r="G24" s="47"/>
      <c r="H24" s="48"/>
      <c r="I24" s="48"/>
      <c r="J24" s="48"/>
      <c r="K24" s="51"/>
      <c r="L24" s="12"/>
    </row>
    <row r="25" spans="1:14">
      <c r="A25" s="52"/>
      <c r="B25" s="52"/>
    </row>
    <row r="26" spans="1:14">
      <c r="A26" s="52"/>
      <c r="B26" s="52"/>
    </row>
    <row r="27" spans="1:14">
      <c r="A27" s="52"/>
      <c r="B27" s="52"/>
    </row>
  </sheetData>
  <sheetProtection sheet="1"/>
  <pageMargins left="0.74791666666666667" right="0.74791666666666667" top="0.98402777777777783" bottom="0.98402777777777783" header="0.51181102362204722" footer="0.51181102362204722"/>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E0B51-0D42-4D94-9E1C-5225D085265E}">
  <dimension ref="A1:L100"/>
  <sheetViews>
    <sheetView showGridLines="0" topLeftCell="A146" zoomScale="85" zoomScaleNormal="85" workbookViewId="0">
      <selection activeCell="C14" sqref="C14:J14"/>
    </sheetView>
  </sheetViews>
  <sheetFormatPr defaultRowHeight="15.75"/>
  <cols>
    <col min="1" max="1" width="1.5703125" style="261" customWidth="1"/>
    <col min="2" max="2" width="2.7109375" style="261" customWidth="1"/>
    <col min="3" max="3" width="32.140625" style="261" customWidth="1"/>
    <col min="4" max="4" width="19.28515625" style="261" bestFit="1" customWidth="1"/>
    <col min="5" max="6" width="22.28515625" style="261" bestFit="1" customWidth="1"/>
    <col min="7" max="7" width="18.5703125" style="261" bestFit="1" customWidth="1"/>
    <col min="8" max="8" width="17.7109375" style="261" customWidth="1"/>
    <col min="9" max="9" width="15.85546875" style="261" customWidth="1"/>
    <col min="10" max="10" width="9.140625" style="261"/>
    <col min="11" max="11" width="2.7109375" style="261" customWidth="1"/>
    <col min="12" max="12" width="1.5703125" style="261" customWidth="1"/>
    <col min="13" max="16384" width="9.140625" style="261"/>
  </cols>
  <sheetData>
    <row r="1" spans="1:12" customFormat="1" ht="12.75"/>
    <row r="2" spans="1:12" s="104" customFormat="1">
      <c r="B2" s="352" t="s">
        <v>347</v>
      </c>
      <c r="C2" s="352"/>
      <c r="D2" s="352"/>
      <c r="E2" s="352"/>
      <c r="F2" s="352"/>
      <c r="G2" s="352"/>
      <c r="H2" s="352"/>
      <c r="I2" s="352"/>
      <c r="J2" s="352"/>
      <c r="K2" s="352"/>
    </row>
    <row r="3" spans="1:12" customFormat="1" ht="12.75"/>
    <row r="4" spans="1:12" s="104" customFormat="1" ht="15.75" customHeight="1">
      <c r="B4" s="353" t="s">
        <v>362</v>
      </c>
      <c r="C4" s="353"/>
      <c r="D4" s="353"/>
      <c r="E4" s="353"/>
      <c r="F4" s="353"/>
      <c r="G4" s="353"/>
      <c r="H4" s="353"/>
      <c r="I4" s="353"/>
      <c r="J4" s="353"/>
      <c r="K4" s="353"/>
    </row>
    <row r="5" spans="1:12" customFormat="1" ht="12.75"/>
    <row r="6" spans="1:12" s="104" customFormat="1" ht="15.75" customHeight="1">
      <c r="B6" s="353" t="s">
        <v>346</v>
      </c>
      <c r="C6" s="353"/>
      <c r="D6" s="353"/>
      <c r="E6" s="353"/>
      <c r="F6" s="353"/>
      <c r="G6" s="353"/>
      <c r="H6" s="353"/>
      <c r="I6" s="353"/>
      <c r="J6" s="353"/>
      <c r="K6" s="353"/>
    </row>
    <row r="7" spans="1:12" customFormat="1" ht="13.5" thickBot="1"/>
    <row r="8" spans="1:12" ht="9.75" customHeight="1" thickBot="1">
      <c r="B8" s="275"/>
      <c r="C8" s="276"/>
      <c r="D8" s="276"/>
      <c r="E8" s="276"/>
      <c r="F8" s="276"/>
      <c r="G8" s="276"/>
      <c r="H8" s="276"/>
      <c r="I8" s="276"/>
      <c r="J8" s="276"/>
      <c r="K8" s="277"/>
    </row>
    <row r="9" spans="1:12">
      <c r="B9" s="265"/>
      <c r="C9" s="341" t="s">
        <v>461</v>
      </c>
      <c r="D9" s="342"/>
      <c r="E9" s="342"/>
      <c r="F9" s="342"/>
      <c r="G9" s="342"/>
      <c r="H9" s="342"/>
      <c r="I9" s="342"/>
      <c r="J9" s="343"/>
      <c r="K9" s="267"/>
    </row>
    <row r="10" spans="1:12" ht="24" customHeight="1" thickBot="1">
      <c r="B10" s="265"/>
      <c r="C10" s="344"/>
      <c r="D10" s="345"/>
      <c r="E10" s="345"/>
      <c r="F10" s="345"/>
      <c r="G10" s="345"/>
      <c r="H10" s="345"/>
      <c r="I10" s="345"/>
      <c r="J10" s="346"/>
      <c r="K10" s="267"/>
    </row>
    <row r="11" spans="1:12" s="264" customFormat="1" ht="50.25" customHeight="1" thickBot="1">
      <c r="A11" s="261"/>
      <c r="B11" s="278"/>
      <c r="C11" s="354" t="s">
        <v>460</v>
      </c>
      <c r="D11" s="354"/>
      <c r="E11" s="354"/>
      <c r="F11" s="354"/>
      <c r="G11" s="354"/>
      <c r="H11" s="354"/>
      <c r="I11" s="354"/>
      <c r="J11" s="354"/>
      <c r="K11" s="279"/>
      <c r="L11" s="261"/>
    </row>
    <row r="12" spans="1:12" s="263" customFormat="1" ht="112.5" customHeight="1" thickBot="1">
      <c r="A12" s="261"/>
      <c r="B12" s="280"/>
      <c r="C12" s="355" t="s">
        <v>459</v>
      </c>
      <c r="D12" s="356"/>
      <c r="E12" s="356"/>
      <c r="F12" s="356"/>
      <c r="G12" s="356"/>
      <c r="H12" s="356"/>
      <c r="I12" s="356"/>
      <c r="J12" s="357"/>
      <c r="K12" s="281"/>
      <c r="L12" s="261"/>
    </row>
    <row r="13" spans="1:12" ht="67.5" customHeight="1">
      <c r="B13" s="265"/>
      <c r="C13" s="338" t="s">
        <v>462</v>
      </c>
      <c r="D13" s="338"/>
      <c r="E13" s="338"/>
      <c r="F13" s="338"/>
      <c r="G13" s="338"/>
      <c r="H13" s="338"/>
      <c r="I13" s="338"/>
      <c r="J13" s="338"/>
      <c r="K13" s="267"/>
    </row>
    <row r="14" spans="1:12" ht="147.75" customHeight="1">
      <c r="B14" s="265"/>
      <c r="C14" s="338" t="s">
        <v>471</v>
      </c>
      <c r="D14" s="338"/>
      <c r="E14" s="338"/>
      <c r="F14" s="338"/>
      <c r="G14" s="338"/>
      <c r="H14" s="338"/>
      <c r="I14" s="338"/>
      <c r="J14" s="338"/>
      <c r="K14" s="267"/>
    </row>
    <row r="15" spans="1:12" ht="147.75" customHeight="1">
      <c r="B15" s="265"/>
      <c r="C15" s="338" t="s">
        <v>472</v>
      </c>
      <c r="D15" s="338"/>
      <c r="E15" s="338"/>
      <c r="F15" s="338"/>
      <c r="G15" s="338"/>
      <c r="H15" s="338"/>
      <c r="I15" s="338"/>
      <c r="J15" s="338"/>
      <c r="K15" s="267"/>
    </row>
    <row r="16" spans="1:12" s="262" customFormat="1" ht="100.5" customHeight="1">
      <c r="B16" s="270"/>
      <c r="C16" s="338" t="s">
        <v>468</v>
      </c>
      <c r="D16" s="338"/>
      <c r="E16" s="338"/>
      <c r="F16" s="338"/>
      <c r="G16" s="338"/>
      <c r="H16" s="338"/>
      <c r="I16" s="338"/>
      <c r="J16" s="338"/>
      <c r="K16" s="269"/>
    </row>
    <row r="17" spans="2:11" ht="16.5" thickBot="1">
      <c r="B17" s="265"/>
      <c r="C17" s="266"/>
      <c r="D17" s="266"/>
      <c r="E17" s="266"/>
      <c r="F17" s="266"/>
      <c r="G17" s="266"/>
      <c r="H17" s="266"/>
      <c r="I17" s="266"/>
      <c r="J17" s="266"/>
      <c r="K17" s="267"/>
    </row>
    <row r="18" spans="2:11" ht="24" customHeight="1">
      <c r="B18" s="265"/>
      <c r="C18" s="341" t="s">
        <v>463</v>
      </c>
      <c r="D18" s="342"/>
      <c r="E18" s="342"/>
      <c r="F18" s="342"/>
      <c r="G18" s="342"/>
      <c r="H18" s="342"/>
      <c r="I18" s="342"/>
      <c r="J18" s="343"/>
      <c r="K18" s="267"/>
    </row>
    <row r="19" spans="2:11" ht="24" customHeight="1" thickBot="1">
      <c r="B19" s="265"/>
      <c r="C19" s="344"/>
      <c r="D19" s="345"/>
      <c r="E19" s="345"/>
      <c r="F19" s="345"/>
      <c r="G19" s="345"/>
      <c r="H19" s="345"/>
      <c r="I19" s="345"/>
      <c r="J19" s="346"/>
      <c r="K19" s="267"/>
    </row>
    <row r="20" spans="2:11">
      <c r="B20" s="265"/>
      <c r="C20" s="266"/>
      <c r="D20" s="266"/>
      <c r="E20" s="266"/>
      <c r="F20" s="266"/>
      <c r="G20" s="266"/>
      <c r="H20" s="266"/>
      <c r="I20" s="266"/>
      <c r="J20" s="266"/>
      <c r="K20" s="267"/>
    </row>
    <row r="21" spans="2:11" ht="32.25" customHeight="1">
      <c r="B21" s="265"/>
      <c r="C21" s="337" t="s">
        <v>422</v>
      </c>
      <c r="D21" s="337"/>
      <c r="E21" s="337"/>
      <c r="F21" s="337"/>
      <c r="G21" s="337"/>
      <c r="H21" s="337"/>
      <c r="I21" s="337"/>
      <c r="J21" s="337"/>
      <c r="K21" s="267"/>
    </row>
    <row r="22" spans="2:11" ht="40.5" customHeight="1">
      <c r="B22" s="265"/>
      <c r="C22" s="338" t="s">
        <v>423</v>
      </c>
      <c r="D22" s="338"/>
      <c r="E22" s="338"/>
      <c r="F22" s="338"/>
      <c r="G22" s="338"/>
      <c r="H22" s="338"/>
      <c r="I22" s="338"/>
      <c r="J22" s="338"/>
      <c r="K22" s="267"/>
    </row>
    <row r="23" spans="2:11" ht="42" customHeight="1">
      <c r="B23" s="265"/>
      <c r="C23" s="338" t="s">
        <v>466</v>
      </c>
      <c r="D23" s="338"/>
      <c r="E23" s="338"/>
      <c r="F23" s="338"/>
      <c r="G23" s="338"/>
      <c r="H23" s="338"/>
      <c r="I23" s="338"/>
      <c r="J23" s="338"/>
      <c r="K23" s="267"/>
    </row>
    <row r="24" spans="2:11">
      <c r="B24" s="265"/>
      <c r="C24" s="266"/>
      <c r="D24" s="266"/>
      <c r="E24" s="266"/>
      <c r="F24" s="266"/>
      <c r="G24" s="266"/>
      <c r="H24" s="266"/>
      <c r="I24" s="266"/>
      <c r="J24" s="266"/>
      <c r="K24" s="267"/>
    </row>
    <row r="25" spans="2:11" ht="24" customHeight="1">
      <c r="B25" s="265"/>
      <c r="C25" s="339" t="s">
        <v>424</v>
      </c>
      <c r="D25" s="340"/>
      <c r="E25" s="340"/>
      <c r="F25" s="340"/>
      <c r="G25" s="340"/>
      <c r="H25" s="340"/>
      <c r="I25" s="340"/>
      <c r="J25" s="340"/>
      <c r="K25" s="267"/>
    </row>
    <row r="26" spans="2:11" ht="33.75" customHeight="1">
      <c r="B26" s="265"/>
      <c r="C26" s="338" t="s">
        <v>425</v>
      </c>
      <c r="D26" s="338"/>
      <c r="E26" s="338"/>
      <c r="F26" s="338"/>
      <c r="G26" s="338"/>
      <c r="H26" s="338"/>
      <c r="I26" s="338"/>
      <c r="J26" s="338"/>
      <c r="K26" s="267"/>
    </row>
    <row r="27" spans="2:11">
      <c r="B27" s="265"/>
      <c r="C27" s="266"/>
      <c r="D27" s="266"/>
      <c r="E27" s="266"/>
      <c r="F27" s="266"/>
      <c r="G27" s="266"/>
      <c r="H27" s="266"/>
      <c r="I27" s="266"/>
      <c r="J27" s="266"/>
      <c r="K27" s="267"/>
    </row>
    <row r="28" spans="2:11" ht="24" customHeight="1">
      <c r="B28" s="265"/>
      <c r="C28" s="339" t="s">
        <v>426</v>
      </c>
      <c r="D28" s="340"/>
      <c r="E28" s="340"/>
      <c r="F28" s="340"/>
      <c r="G28" s="340"/>
      <c r="H28" s="340"/>
      <c r="I28" s="340"/>
      <c r="J28" s="340"/>
      <c r="K28" s="267"/>
    </row>
    <row r="29" spans="2:11" ht="29.25" customHeight="1">
      <c r="B29" s="265"/>
      <c r="C29" s="338" t="s">
        <v>453</v>
      </c>
      <c r="D29" s="338"/>
      <c r="E29" s="338"/>
      <c r="F29" s="338"/>
      <c r="G29" s="338"/>
      <c r="H29" s="338"/>
      <c r="I29" s="338"/>
      <c r="J29" s="338"/>
      <c r="K29" s="267"/>
    </row>
    <row r="30" spans="2:11" ht="85.5" customHeight="1">
      <c r="B30" s="265"/>
      <c r="C30" s="338" t="s">
        <v>473</v>
      </c>
      <c r="D30" s="338"/>
      <c r="E30" s="338"/>
      <c r="F30" s="338"/>
      <c r="G30" s="338"/>
      <c r="H30" s="338"/>
      <c r="I30" s="338"/>
      <c r="J30" s="338"/>
      <c r="K30" s="267"/>
    </row>
    <row r="31" spans="2:11" ht="29.25" customHeight="1">
      <c r="B31" s="265"/>
      <c r="C31" s="338" t="s">
        <v>467</v>
      </c>
      <c r="D31" s="338"/>
      <c r="E31" s="338"/>
      <c r="F31" s="338"/>
      <c r="G31" s="338"/>
      <c r="H31" s="338"/>
      <c r="I31" s="338"/>
      <c r="J31" s="338"/>
      <c r="K31" s="267"/>
    </row>
    <row r="32" spans="2:11">
      <c r="B32" s="265"/>
      <c r="C32" s="266"/>
      <c r="D32" s="266"/>
      <c r="E32" s="266"/>
      <c r="F32" s="266"/>
      <c r="G32" s="266"/>
      <c r="H32" s="266"/>
      <c r="I32" s="266"/>
      <c r="J32" s="266"/>
      <c r="K32" s="267"/>
    </row>
    <row r="33" spans="2:11" ht="24" customHeight="1">
      <c r="B33" s="265"/>
      <c r="C33" s="339" t="s">
        <v>427</v>
      </c>
      <c r="D33" s="340"/>
      <c r="E33" s="340"/>
      <c r="F33" s="340"/>
      <c r="G33" s="340"/>
      <c r="H33" s="340"/>
      <c r="I33" s="340"/>
      <c r="J33" s="340"/>
      <c r="K33" s="267"/>
    </row>
    <row r="34" spans="2:11" ht="72" customHeight="1">
      <c r="B34" s="265"/>
      <c r="C34" s="338" t="s">
        <v>474</v>
      </c>
      <c r="D34" s="338"/>
      <c r="E34" s="338"/>
      <c r="F34" s="338"/>
      <c r="G34" s="338"/>
      <c r="H34" s="338"/>
      <c r="I34" s="338"/>
      <c r="J34" s="338"/>
      <c r="K34" s="267"/>
    </row>
    <row r="35" spans="2:11">
      <c r="B35" s="265"/>
      <c r="C35" s="266"/>
      <c r="D35" s="266"/>
      <c r="E35" s="266"/>
      <c r="F35" s="266"/>
      <c r="G35" s="266"/>
      <c r="H35" s="266"/>
      <c r="I35" s="266"/>
      <c r="J35" s="266"/>
      <c r="K35" s="267"/>
    </row>
    <row r="36" spans="2:11" ht="24" customHeight="1">
      <c r="B36" s="265"/>
      <c r="C36" s="339" t="s">
        <v>428</v>
      </c>
      <c r="D36" s="340"/>
      <c r="E36" s="340"/>
      <c r="F36" s="340"/>
      <c r="G36" s="340"/>
      <c r="H36" s="340"/>
      <c r="I36" s="340"/>
      <c r="J36" s="340"/>
      <c r="K36" s="267"/>
    </row>
    <row r="37" spans="2:11" ht="69.75" customHeight="1">
      <c r="B37" s="265"/>
      <c r="C37" s="338" t="s">
        <v>475</v>
      </c>
      <c r="D37" s="338"/>
      <c r="E37" s="338"/>
      <c r="F37" s="338"/>
      <c r="G37" s="338"/>
      <c r="H37" s="338"/>
      <c r="I37" s="338"/>
      <c r="J37" s="338"/>
      <c r="K37" s="267"/>
    </row>
    <row r="38" spans="2:11" ht="48" customHeight="1">
      <c r="B38" s="265"/>
      <c r="C38" s="338" t="s">
        <v>429</v>
      </c>
      <c r="D38" s="338"/>
      <c r="E38" s="338"/>
      <c r="F38" s="338"/>
      <c r="G38" s="338"/>
      <c r="H38" s="338"/>
      <c r="I38" s="266"/>
      <c r="J38" s="266"/>
      <c r="K38" s="267"/>
    </row>
    <row r="39" spans="2:11">
      <c r="B39" s="265"/>
      <c r="C39" s="266"/>
      <c r="D39" s="266"/>
      <c r="E39" s="266"/>
      <c r="F39" s="266"/>
      <c r="G39" s="266"/>
      <c r="H39" s="266"/>
      <c r="I39" s="266"/>
      <c r="J39" s="266"/>
      <c r="K39" s="267"/>
    </row>
    <row r="40" spans="2:11" ht="32.25" customHeight="1">
      <c r="B40" s="265"/>
      <c r="C40" s="337" t="s">
        <v>430</v>
      </c>
      <c r="D40" s="337"/>
      <c r="E40" s="337"/>
      <c r="F40" s="337"/>
      <c r="G40" s="337"/>
      <c r="H40" s="337"/>
      <c r="I40" s="337"/>
      <c r="J40" s="337"/>
      <c r="K40" s="267"/>
    </row>
    <row r="41" spans="2:11" ht="29.25" customHeight="1">
      <c r="B41" s="265"/>
      <c r="C41" s="338" t="s">
        <v>453</v>
      </c>
      <c r="D41" s="338"/>
      <c r="E41" s="338"/>
      <c r="F41" s="338"/>
      <c r="G41" s="338"/>
      <c r="H41" s="338"/>
      <c r="I41" s="338"/>
      <c r="J41" s="338"/>
      <c r="K41" s="267"/>
    </row>
    <row r="42" spans="2:11">
      <c r="B42" s="265"/>
      <c r="C42" s="266"/>
      <c r="D42" s="266"/>
      <c r="E42" s="266"/>
      <c r="F42" s="266"/>
      <c r="G42" s="266"/>
      <c r="H42" s="266"/>
      <c r="I42" s="266"/>
      <c r="J42" s="266"/>
      <c r="K42" s="267"/>
    </row>
    <row r="43" spans="2:11" ht="24" customHeight="1">
      <c r="B43" s="265"/>
      <c r="C43" s="339" t="s">
        <v>431</v>
      </c>
      <c r="D43" s="340"/>
      <c r="E43" s="340"/>
      <c r="F43" s="340"/>
      <c r="G43" s="340"/>
      <c r="H43" s="340"/>
      <c r="I43" s="340"/>
      <c r="J43" s="340"/>
      <c r="K43" s="267"/>
    </row>
    <row r="44" spans="2:11" ht="29.25" customHeight="1">
      <c r="B44" s="265"/>
      <c r="C44" s="338" t="s">
        <v>453</v>
      </c>
      <c r="D44" s="338"/>
      <c r="E44" s="338"/>
      <c r="F44" s="338"/>
      <c r="G44" s="338"/>
      <c r="H44" s="338"/>
      <c r="I44" s="338"/>
      <c r="J44" s="338"/>
      <c r="K44" s="267"/>
    </row>
    <row r="45" spans="2:11">
      <c r="B45" s="265"/>
      <c r="C45" s="266"/>
      <c r="D45" s="266"/>
      <c r="E45" s="266"/>
      <c r="F45" s="266"/>
      <c r="G45" s="266"/>
      <c r="H45" s="266"/>
      <c r="I45" s="266"/>
      <c r="J45" s="266"/>
      <c r="K45" s="267"/>
    </row>
    <row r="46" spans="2:11" ht="24" customHeight="1">
      <c r="B46" s="265"/>
      <c r="C46" s="339" t="s">
        <v>432</v>
      </c>
      <c r="D46" s="340"/>
      <c r="E46" s="340"/>
      <c r="F46" s="340"/>
      <c r="G46" s="340"/>
      <c r="H46" s="340"/>
      <c r="I46" s="340"/>
      <c r="J46" s="340"/>
      <c r="K46" s="267"/>
    </row>
    <row r="47" spans="2:11" ht="51.75" customHeight="1">
      <c r="B47" s="265"/>
      <c r="C47" s="338" t="s">
        <v>433</v>
      </c>
      <c r="D47" s="338"/>
      <c r="E47" s="338"/>
      <c r="F47" s="338"/>
      <c r="G47" s="338"/>
      <c r="H47" s="338"/>
      <c r="I47" s="338"/>
      <c r="J47" s="338"/>
      <c r="K47" s="267"/>
    </row>
    <row r="48" spans="2:11">
      <c r="B48" s="265"/>
      <c r="C48" s="266"/>
      <c r="D48" s="266"/>
      <c r="E48" s="266"/>
      <c r="F48" s="266"/>
      <c r="G48" s="266"/>
      <c r="H48" s="266"/>
      <c r="I48" s="266"/>
      <c r="J48" s="266"/>
      <c r="K48" s="267"/>
    </row>
    <row r="49" spans="2:11" ht="24" customHeight="1">
      <c r="B49" s="265"/>
      <c r="C49" s="339" t="s">
        <v>434</v>
      </c>
      <c r="D49" s="340"/>
      <c r="E49" s="340"/>
      <c r="F49" s="340"/>
      <c r="G49" s="340"/>
      <c r="H49" s="340"/>
      <c r="I49" s="340"/>
      <c r="J49" s="340"/>
      <c r="K49" s="267"/>
    </row>
    <row r="50" spans="2:11" ht="72.75" customHeight="1">
      <c r="B50" s="265"/>
      <c r="C50" s="338" t="s">
        <v>435</v>
      </c>
      <c r="D50" s="338"/>
      <c r="E50" s="338"/>
      <c r="F50" s="338"/>
      <c r="G50" s="338"/>
      <c r="H50" s="338"/>
      <c r="I50" s="338"/>
      <c r="J50" s="338"/>
      <c r="K50" s="267"/>
    </row>
    <row r="51" spans="2:11">
      <c r="B51" s="265"/>
      <c r="C51" s="266"/>
      <c r="D51" s="266"/>
      <c r="E51" s="266"/>
      <c r="F51" s="266"/>
      <c r="G51" s="266"/>
      <c r="H51" s="266"/>
      <c r="I51" s="266"/>
      <c r="J51" s="266"/>
      <c r="K51" s="267"/>
    </row>
    <row r="52" spans="2:11" ht="24" customHeight="1">
      <c r="B52" s="265"/>
      <c r="C52" s="351" t="s">
        <v>436</v>
      </c>
      <c r="D52" s="351"/>
      <c r="E52" s="351"/>
      <c r="F52" s="351"/>
      <c r="G52" s="351"/>
      <c r="H52" s="351"/>
      <c r="I52" s="268"/>
      <c r="J52" s="271"/>
      <c r="K52" s="267"/>
    </row>
    <row r="53" spans="2:11" ht="29.25" customHeight="1">
      <c r="B53" s="265"/>
      <c r="C53" s="338" t="s">
        <v>453</v>
      </c>
      <c r="D53" s="338"/>
      <c r="E53" s="338"/>
      <c r="F53" s="338"/>
      <c r="G53" s="338"/>
      <c r="H53" s="338"/>
      <c r="I53" s="338"/>
      <c r="J53" s="338"/>
      <c r="K53" s="267"/>
    </row>
    <row r="54" spans="2:11">
      <c r="B54" s="265"/>
      <c r="C54" s="271"/>
      <c r="D54" s="271"/>
      <c r="E54" s="271"/>
      <c r="F54" s="271"/>
      <c r="G54" s="271"/>
      <c r="H54" s="271"/>
      <c r="I54" s="271"/>
      <c r="J54" s="271"/>
      <c r="K54" s="267"/>
    </row>
    <row r="55" spans="2:11" ht="24" customHeight="1">
      <c r="B55" s="265"/>
      <c r="C55" s="351" t="s">
        <v>437</v>
      </c>
      <c r="D55" s="351"/>
      <c r="E55" s="351"/>
      <c r="F55" s="351"/>
      <c r="G55" s="351"/>
      <c r="H55" s="351"/>
      <c r="I55" s="268"/>
      <c r="J55" s="271"/>
      <c r="K55" s="267"/>
    </row>
    <row r="56" spans="2:11" ht="29.25" customHeight="1">
      <c r="B56" s="265"/>
      <c r="C56" s="338" t="s">
        <v>453</v>
      </c>
      <c r="D56" s="338"/>
      <c r="E56" s="338"/>
      <c r="F56" s="338"/>
      <c r="G56" s="338"/>
      <c r="H56" s="338"/>
      <c r="I56" s="338"/>
      <c r="J56" s="338"/>
      <c r="K56" s="267"/>
    </row>
    <row r="57" spans="2:11">
      <c r="B57" s="265"/>
      <c r="C57" s="271"/>
      <c r="D57" s="271"/>
      <c r="E57" s="271"/>
      <c r="F57" s="271"/>
      <c r="G57" s="271"/>
      <c r="H57" s="271"/>
      <c r="I57" s="271"/>
      <c r="J57" s="271"/>
      <c r="K57" s="267"/>
    </row>
    <row r="58" spans="2:11">
      <c r="B58" s="265"/>
      <c r="C58" s="348" t="s">
        <v>454</v>
      </c>
      <c r="D58" s="338"/>
      <c r="E58" s="338"/>
      <c r="F58" s="338"/>
      <c r="G58" s="338"/>
      <c r="H58" s="338"/>
      <c r="I58" s="338"/>
      <c r="J58" s="338"/>
      <c r="K58" s="267"/>
    </row>
    <row r="59" spans="2:11" ht="29.25" customHeight="1">
      <c r="B59" s="265"/>
      <c r="C59" s="338" t="s">
        <v>453</v>
      </c>
      <c r="D59" s="338"/>
      <c r="E59" s="338"/>
      <c r="F59" s="338"/>
      <c r="G59" s="338"/>
      <c r="H59" s="338"/>
      <c r="I59" s="338"/>
      <c r="J59" s="338"/>
      <c r="K59" s="267"/>
    </row>
    <row r="60" spans="2:11">
      <c r="B60" s="265"/>
      <c r="C60" s="266"/>
      <c r="D60" s="266"/>
      <c r="E60" s="266"/>
      <c r="F60" s="266"/>
      <c r="G60" s="266"/>
      <c r="H60" s="266"/>
      <c r="I60" s="266"/>
      <c r="J60" s="266"/>
      <c r="K60" s="267"/>
    </row>
    <row r="61" spans="2:11" ht="32.25" customHeight="1">
      <c r="B61" s="265"/>
      <c r="C61" s="337" t="s">
        <v>236</v>
      </c>
      <c r="D61" s="337"/>
      <c r="E61" s="337"/>
      <c r="F61" s="337"/>
      <c r="G61" s="337"/>
      <c r="H61" s="337"/>
      <c r="I61" s="337"/>
      <c r="J61" s="337"/>
      <c r="K61" s="267"/>
    </row>
    <row r="62" spans="2:11" ht="53.25" customHeight="1">
      <c r="B62" s="265"/>
      <c r="C62" s="338" t="s">
        <v>438</v>
      </c>
      <c r="D62" s="338"/>
      <c r="E62" s="338"/>
      <c r="F62" s="338"/>
      <c r="G62" s="338"/>
      <c r="H62" s="338"/>
      <c r="I62" s="338"/>
      <c r="J62" s="338"/>
      <c r="K62" s="267"/>
    </row>
    <row r="63" spans="2:11">
      <c r="B63" s="265"/>
      <c r="C63" s="266"/>
      <c r="D63" s="266"/>
      <c r="E63" s="266"/>
      <c r="F63" s="266"/>
      <c r="G63" s="266"/>
      <c r="H63" s="266"/>
      <c r="I63" s="266"/>
      <c r="J63" s="266"/>
      <c r="K63" s="267"/>
    </row>
    <row r="64" spans="2:11" ht="24" customHeight="1">
      <c r="B64" s="265"/>
      <c r="C64" s="339" t="s">
        <v>439</v>
      </c>
      <c r="D64" s="340"/>
      <c r="E64" s="340"/>
      <c r="F64" s="340"/>
      <c r="G64" s="340"/>
      <c r="H64" s="340"/>
      <c r="I64" s="340"/>
      <c r="J64" s="340"/>
      <c r="K64" s="267"/>
    </row>
    <row r="65" spans="2:11" ht="106.5" customHeight="1">
      <c r="B65" s="265"/>
      <c r="C65" s="338" t="s">
        <v>440</v>
      </c>
      <c r="D65" s="338"/>
      <c r="E65" s="338"/>
      <c r="F65" s="338"/>
      <c r="G65" s="338"/>
      <c r="H65" s="338"/>
      <c r="I65" s="338"/>
      <c r="J65" s="338"/>
      <c r="K65" s="267"/>
    </row>
    <row r="66" spans="2:11">
      <c r="B66" s="265"/>
      <c r="C66" s="266"/>
      <c r="D66" s="266"/>
      <c r="E66" s="266"/>
      <c r="F66" s="266"/>
      <c r="G66" s="266"/>
      <c r="H66" s="266"/>
      <c r="I66" s="266"/>
      <c r="J66" s="266"/>
      <c r="K66" s="267"/>
    </row>
    <row r="67" spans="2:11" ht="24" customHeight="1">
      <c r="B67" s="265"/>
      <c r="C67" s="339" t="s">
        <v>441</v>
      </c>
      <c r="D67" s="340"/>
      <c r="E67" s="340"/>
      <c r="F67" s="340"/>
      <c r="G67" s="340"/>
      <c r="H67" s="340"/>
      <c r="I67" s="340"/>
      <c r="J67" s="340"/>
      <c r="K67" s="267"/>
    </row>
    <row r="68" spans="2:11" ht="101.25" customHeight="1">
      <c r="B68" s="265"/>
      <c r="C68" s="338" t="s">
        <v>442</v>
      </c>
      <c r="D68" s="338"/>
      <c r="E68" s="338"/>
      <c r="F68" s="338"/>
      <c r="G68" s="338"/>
      <c r="H68" s="338"/>
      <c r="I68" s="338"/>
      <c r="J68" s="338"/>
      <c r="K68" s="267"/>
    </row>
    <row r="69" spans="2:11">
      <c r="B69" s="265"/>
      <c r="C69" s="266"/>
      <c r="D69" s="266"/>
      <c r="E69" s="266"/>
      <c r="F69" s="266"/>
      <c r="G69" s="266"/>
      <c r="H69" s="266"/>
      <c r="I69" s="266"/>
      <c r="J69" s="266"/>
      <c r="K69" s="267"/>
    </row>
    <row r="70" spans="2:11" ht="24" customHeight="1">
      <c r="B70" s="265"/>
      <c r="C70" s="339" t="s">
        <v>443</v>
      </c>
      <c r="D70" s="340"/>
      <c r="E70" s="340"/>
      <c r="F70" s="340"/>
      <c r="G70" s="340"/>
      <c r="H70" s="340"/>
      <c r="I70" s="340"/>
      <c r="J70" s="340"/>
      <c r="K70" s="267"/>
    </row>
    <row r="71" spans="2:11" ht="75" customHeight="1">
      <c r="B71" s="265"/>
      <c r="C71" s="350" t="s">
        <v>444</v>
      </c>
      <c r="D71" s="350"/>
      <c r="E71" s="350"/>
      <c r="F71" s="350"/>
      <c r="G71" s="350"/>
      <c r="H71" s="350"/>
      <c r="I71" s="350"/>
      <c r="J71" s="350"/>
      <c r="K71" s="267"/>
    </row>
    <row r="72" spans="2:11">
      <c r="B72" s="265"/>
      <c r="C72" s="266"/>
      <c r="D72" s="266"/>
      <c r="E72" s="266"/>
      <c r="F72" s="266"/>
      <c r="G72" s="266"/>
      <c r="H72" s="266"/>
      <c r="I72" s="266"/>
      <c r="J72" s="266"/>
      <c r="K72" s="267"/>
    </row>
    <row r="73" spans="2:11" ht="32.25" customHeight="1">
      <c r="B73" s="265"/>
      <c r="C73" s="337" t="s">
        <v>244</v>
      </c>
      <c r="D73" s="337"/>
      <c r="E73" s="337"/>
      <c r="F73" s="337"/>
      <c r="G73" s="337"/>
      <c r="H73" s="337"/>
      <c r="I73" s="337"/>
      <c r="J73" s="337"/>
      <c r="K73" s="267"/>
    </row>
    <row r="74" spans="2:11" ht="139.5" customHeight="1">
      <c r="B74" s="265"/>
      <c r="C74" s="338" t="s">
        <v>476</v>
      </c>
      <c r="D74" s="338"/>
      <c r="E74" s="338"/>
      <c r="F74" s="338"/>
      <c r="G74" s="338"/>
      <c r="H74" s="338"/>
      <c r="I74" s="338"/>
      <c r="J74" s="338"/>
      <c r="K74" s="267"/>
    </row>
    <row r="75" spans="2:11">
      <c r="B75" s="265"/>
      <c r="C75" s="266"/>
      <c r="D75" s="266"/>
      <c r="E75" s="266"/>
      <c r="F75" s="266"/>
      <c r="G75" s="266"/>
      <c r="H75" s="266"/>
      <c r="I75" s="266"/>
      <c r="J75" s="266"/>
      <c r="K75" s="267"/>
    </row>
    <row r="76" spans="2:11" ht="24" customHeight="1">
      <c r="B76" s="265"/>
      <c r="C76" s="339" t="s">
        <v>445</v>
      </c>
      <c r="D76" s="340"/>
      <c r="E76" s="340"/>
      <c r="F76" s="340"/>
      <c r="G76" s="340"/>
      <c r="H76" s="340"/>
      <c r="I76" s="340"/>
      <c r="J76" s="340"/>
      <c r="K76" s="267"/>
    </row>
    <row r="77" spans="2:11" ht="78" customHeight="1">
      <c r="B77" s="265"/>
      <c r="C77" s="338" t="s">
        <v>446</v>
      </c>
      <c r="D77" s="338"/>
      <c r="E77" s="338"/>
      <c r="F77" s="338"/>
      <c r="G77" s="338"/>
      <c r="H77" s="338"/>
      <c r="I77" s="338"/>
      <c r="J77" s="338"/>
      <c r="K77" s="267"/>
    </row>
    <row r="78" spans="2:11">
      <c r="B78" s="265"/>
      <c r="C78" s="266"/>
      <c r="D78" s="266"/>
      <c r="E78" s="266"/>
      <c r="F78" s="266"/>
      <c r="G78" s="266"/>
      <c r="H78" s="266"/>
      <c r="I78" s="266"/>
      <c r="J78" s="266"/>
      <c r="K78" s="267"/>
    </row>
    <row r="79" spans="2:11" ht="24" customHeight="1">
      <c r="B79" s="265"/>
      <c r="C79" s="339" t="s">
        <v>447</v>
      </c>
      <c r="D79" s="340"/>
      <c r="E79" s="340"/>
      <c r="F79" s="340"/>
      <c r="G79" s="340"/>
      <c r="H79" s="340"/>
      <c r="I79" s="340"/>
      <c r="J79" s="340"/>
      <c r="K79" s="267"/>
    </row>
    <row r="80" spans="2:11" ht="119.25" customHeight="1">
      <c r="B80" s="265"/>
      <c r="C80" s="338" t="s">
        <v>448</v>
      </c>
      <c r="D80" s="338"/>
      <c r="E80" s="338"/>
      <c r="F80" s="338"/>
      <c r="G80" s="338"/>
      <c r="H80" s="338"/>
      <c r="I80" s="338"/>
      <c r="J80" s="338"/>
      <c r="K80" s="267"/>
    </row>
    <row r="81" spans="2:11">
      <c r="B81" s="265"/>
      <c r="C81" s="266"/>
      <c r="D81" s="266"/>
      <c r="E81" s="266"/>
      <c r="F81" s="266"/>
      <c r="G81" s="266"/>
      <c r="H81" s="266"/>
      <c r="I81" s="266"/>
      <c r="J81" s="266"/>
      <c r="K81" s="267"/>
    </row>
    <row r="82" spans="2:11" ht="32.25" customHeight="1">
      <c r="B82" s="265"/>
      <c r="C82" s="337" t="s">
        <v>449</v>
      </c>
      <c r="D82" s="337"/>
      <c r="E82" s="337"/>
      <c r="F82" s="337"/>
      <c r="G82" s="337"/>
      <c r="H82" s="337"/>
      <c r="I82" s="337"/>
      <c r="J82" s="337"/>
      <c r="K82" s="267"/>
    </row>
    <row r="83" spans="2:11" ht="29.25" customHeight="1">
      <c r="B83" s="265"/>
      <c r="C83" s="338" t="s">
        <v>453</v>
      </c>
      <c r="D83" s="338"/>
      <c r="E83" s="338"/>
      <c r="F83" s="338"/>
      <c r="G83" s="338"/>
      <c r="H83" s="338"/>
      <c r="I83" s="338"/>
      <c r="J83" s="338"/>
      <c r="K83" s="267"/>
    </row>
    <row r="84" spans="2:11" ht="61.5" customHeight="1">
      <c r="B84" s="265"/>
      <c r="C84" s="338" t="s">
        <v>477</v>
      </c>
      <c r="D84" s="338"/>
      <c r="E84" s="338"/>
      <c r="F84" s="338"/>
      <c r="G84" s="338"/>
      <c r="H84" s="338"/>
      <c r="I84" s="338"/>
      <c r="J84" s="338"/>
      <c r="K84" s="267"/>
    </row>
    <row r="85" spans="2:11">
      <c r="B85" s="265"/>
      <c r="C85" s="266"/>
      <c r="D85" s="266"/>
      <c r="E85" s="266"/>
      <c r="F85" s="266"/>
      <c r="G85" s="266"/>
      <c r="H85" s="266"/>
      <c r="I85" s="266"/>
      <c r="J85" s="266"/>
      <c r="K85" s="267"/>
    </row>
    <row r="86" spans="2:11" ht="32.25" customHeight="1">
      <c r="B86" s="265"/>
      <c r="C86" s="337" t="s">
        <v>261</v>
      </c>
      <c r="D86" s="337"/>
      <c r="E86" s="337"/>
      <c r="F86" s="337"/>
      <c r="G86" s="337"/>
      <c r="H86" s="337"/>
      <c r="I86" s="337"/>
      <c r="J86" s="337"/>
      <c r="K86" s="267"/>
    </row>
    <row r="87" spans="2:11" ht="29.25" customHeight="1">
      <c r="B87" s="265"/>
      <c r="C87" s="338" t="s">
        <v>456</v>
      </c>
      <c r="D87" s="338"/>
      <c r="E87" s="338"/>
      <c r="F87" s="338"/>
      <c r="G87" s="338"/>
      <c r="H87" s="338"/>
      <c r="I87" s="338"/>
      <c r="J87" s="338"/>
      <c r="K87" s="267"/>
    </row>
    <row r="88" spans="2:11">
      <c r="B88" s="265"/>
      <c r="C88" s="266"/>
      <c r="D88" s="266"/>
      <c r="E88" s="266"/>
      <c r="F88" s="266"/>
      <c r="G88" s="266"/>
      <c r="H88" s="266"/>
      <c r="I88" s="266"/>
      <c r="J88" s="266"/>
      <c r="K88" s="267"/>
    </row>
    <row r="89" spans="2:11" ht="24" customHeight="1">
      <c r="B89" s="265"/>
      <c r="C89" s="347" t="s">
        <v>457</v>
      </c>
      <c r="D89" s="347"/>
      <c r="E89" s="347"/>
      <c r="F89" s="347"/>
      <c r="G89" s="347"/>
      <c r="H89" s="347"/>
      <c r="I89" s="347"/>
      <c r="J89" s="347"/>
      <c r="K89" s="267"/>
    </row>
    <row r="90" spans="2:11" ht="51" customHeight="1">
      <c r="B90" s="265"/>
      <c r="C90" s="338" t="s">
        <v>450</v>
      </c>
      <c r="D90" s="338"/>
      <c r="E90" s="338"/>
      <c r="F90" s="338"/>
      <c r="G90" s="338"/>
      <c r="H90" s="338"/>
      <c r="I90" s="338"/>
      <c r="J90" s="338"/>
      <c r="K90" s="267"/>
    </row>
    <row r="91" spans="2:11" ht="51" customHeight="1">
      <c r="B91" s="265"/>
      <c r="C91" s="348" t="s">
        <v>464</v>
      </c>
      <c r="D91" s="349"/>
      <c r="E91" s="349"/>
      <c r="F91" s="349"/>
      <c r="G91" s="349"/>
      <c r="H91" s="349"/>
      <c r="I91" s="349"/>
      <c r="J91" s="349"/>
      <c r="K91" s="267"/>
    </row>
    <row r="92" spans="2:11">
      <c r="B92" s="265"/>
      <c r="C92" s="266"/>
      <c r="D92" s="266"/>
      <c r="E92" s="266"/>
      <c r="F92" s="266"/>
      <c r="G92" s="266"/>
      <c r="H92" s="266"/>
      <c r="I92" s="266"/>
      <c r="J92" s="266"/>
      <c r="K92" s="267"/>
    </row>
    <row r="93" spans="2:11" ht="32.25" customHeight="1">
      <c r="B93" s="265"/>
      <c r="C93" s="337" t="s">
        <v>465</v>
      </c>
      <c r="D93" s="337"/>
      <c r="E93" s="337"/>
      <c r="F93" s="337"/>
      <c r="G93" s="337"/>
      <c r="H93" s="337"/>
      <c r="I93" s="337"/>
      <c r="J93" s="337"/>
      <c r="K93" s="267"/>
    </row>
    <row r="94" spans="2:11" ht="56.25" customHeight="1">
      <c r="B94" s="265"/>
      <c r="C94" s="338" t="s">
        <v>469</v>
      </c>
      <c r="D94" s="338"/>
      <c r="E94" s="338"/>
      <c r="F94" s="338"/>
      <c r="G94" s="338"/>
      <c r="H94" s="338"/>
      <c r="I94" s="338"/>
      <c r="J94" s="338"/>
      <c r="K94" s="267"/>
    </row>
    <row r="95" spans="2:11" ht="16.5" thickBot="1">
      <c r="B95" s="265"/>
      <c r="C95" s="266"/>
      <c r="D95" s="266"/>
      <c r="E95" s="266"/>
      <c r="F95" s="266"/>
      <c r="G95" s="266"/>
      <c r="H95" s="266"/>
      <c r="I95" s="266"/>
      <c r="J95" s="266"/>
      <c r="K95" s="267"/>
    </row>
    <row r="96" spans="2:11" ht="15" customHeight="1">
      <c r="B96" s="265"/>
      <c r="C96" s="341" t="s">
        <v>458</v>
      </c>
      <c r="D96" s="342"/>
      <c r="E96" s="342"/>
      <c r="F96" s="342"/>
      <c r="G96" s="342"/>
      <c r="H96" s="342"/>
      <c r="I96" s="342"/>
      <c r="J96" s="343"/>
      <c r="K96" s="267"/>
    </row>
    <row r="97" spans="2:11" ht="24" customHeight="1" thickBot="1">
      <c r="B97" s="265"/>
      <c r="C97" s="344"/>
      <c r="D97" s="345"/>
      <c r="E97" s="345"/>
      <c r="F97" s="345"/>
      <c r="G97" s="345"/>
      <c r="H97" s="345"/>
      <c r="I97" s="345"/>
      <c r="J97" s="346"/>
      <c r="K97" s="267"/>
    </row>
    <row r="98" spans="2:11" ht="111" customHeight="1">
      <c r="B98" s="265"/>
      <c r="C98" s="338" t="s">
        <v>478</v>
      </c>
      <c r="D98" s="338"/>
      <c r="E98" s="338"/>
      <c r="F98" s="338"/>
      <c r="G98" s="338"/>
      <c r="H98" s="338"/>
      <c r="I98" s="338"/>
      <c r="J98" s="338"/>
      <c r="K98" s="267"/>
    </row>
    <row r="99" spans="2:11">
      <c r="B99" s="265"/>
      <c r="C99" s="266"/>
      <c r="D99" s="266"/>
      <c r="E99" s="266"/>
      <c r="F99" s="266"/>
      <c r="G99" s="266"/>
      <c r="H99" s="266"/>
      <c r="I99" s="266"/>
      <c r="J99" s="266"/>
      <c r="K99" s="267"/>
    </row>
    <row r="100" spans="2:11" ht="16.5" thickBot="1">
      <c r="B100" s="272"/>
      <c r="C100" s="273"/>
      <c r="D100" s="273"/>
      <c r="E100" s="273"/>
      <c r="F100" s="273"/>
      <c r="G100" s="273"/>
      <c r="H100" s="273"/>
      <c r="I100" s="273"/>
      <c r="J100" s="273"/>
      <c r="K100" s="274"/>
    </row>
  </sheetData>
  <mergeCells count="65">
    <mergeCell ref="B2:K2"/>
    <mergeCell ref="B4:K4"/>
    <mergeCell ref="B6:K6"/>
    <mergeCell ref="C11:J11"/>
    <mergeCell ref="C21:J21"/>
    <mergeCell ref="C9:J10"/>
    <mergeCell ref="C12:J12"/>
    <mergeCell ref="C22:J22"/>
    <mergeCell ref="C25:J25"/>
    <mergeCell ref="C15:J15"/>
    <mergeCell ref="C13:J13"/>
    <mergeCell ref="C34:J34"/>
    <mergeCell ref="C14:J14"/>
    <mergeCell ref="C18:J19"/>
    <mergeCell ref="C23:J23"/>
    <mergeCell ref="C16:J16"/>
    <mergeCell ref="C36:J36"/>
    <mergeCell ref="C37:J37"/>
    <mergeCell ref="C26:J26"/>
    <mergeCell ref="C28:J28"/>
    <mergeCell ref="C30:J30"/>
    <mergeCell ref="C33:J33"/>
    <mergeCell ref="C29:J29"/>
    <mergeCell ref="C31:J31"/>
    <mergeCell ref="C40:J40"/>
    <mergeCell ref="C43:J43"/>
    <mergeCell ref="C41:J41"/>
    <mergeCell ref="C44:J44"/>
    <mergeCell ref="C38:H38"/>
    <mergeCell ref="C49:J49"/>
    <mergeCell ref="C50:J50"/>
    <mergeCell ref="C52:H52"/>
    <mergeCell ref="C46:J46"/>
    <mergeCell ref="C47:J47"/>
    <mergeCell ref="C59:J59"/>
    <mergeCell ref="C55:H55"/>
    <mergeCell ref="C58:J58"/>
    <mergeCell ref="C53:J53"/>
    <mergeCell ref="C56:J56"/>
    <mergeCell ref="C67:J67"/>
    <mergeCell ref="C68:J68"/>
    <mergeCell ref="C61:J61"/>
    <mergeCell ref="C62:J62"/>
    <mergeCell ref="C64:J64"/>
    <mergeCell ref="C65:J65"/>
    <mergeCell ref="C76:J76"/>
    <mergeCell ref="C77:J77"/>
    <mergeCell ref="C73:J73"/>
    <mergeCell ref="C74:J74"/>
    <mergeCell ref="C70:J70"/>
    <mergeCell ref="C71:J71"/>
    <mergeCell ref="C82:J82"/>
    <mergeCell ref="C84:J84"/>
    <mergeCell ref="C83:J83"/>
    <mergeCell ref="C98:J98"/>
    <mergeCell ref="C79:J79"/>
    <mergeCell ref="C80:J80"/>
    <mergeCell ref="C96:J97"/>
    <mergeCell ref="C94:J94"/>
    <mergeCell ref="C89:J89"/>
    <mergeCell ref="C93:J93"/>
    <mergeCell ref="C90:J90"/>
    <mergeCell ref="C91:J91"/>
    <mergeCell ref="C86:J86"/>
    <mergeCell ref="C87:J87"/>
  </mergeCells>
  <pageMargins left="0.511811024" right="0.511811024" top="0.78740157499999996" bottom="0.78740157499999996" header="0.31496062000000002" footer="0.31496062000000002"/>
  <pageSetup paperSize="8"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7"/>
  </sheetPr>
  <dimension ref="A1:BE185"/>
  <sheetViews>
    <sheetView showGridLines="0" tabSelected="1" topLeftCell="A41" zoomScale="90" zoomScaleNormal="90" workbookViewId="0">
      <selection activeCell="AD13" sqref="AD13"/>
    </sheetView>
  </sheetViews>
  <sheetFormatPr defaultColWidth="1.85546875" defaultRowHeight="12.75"/>
  <cols>
    <col min="1" max="1" width="1.85546875" style="1"/>
    <col min="2" max="2" width="4" style="1" customWidth="1"/>
    <col min="3" max="3" width="2" style="1" customWidth="1"/>
    <col min="4" max="4" width="2" style="2" customWidth="1"/>
    <col min="5" max="9" width="2.5703125" style="1" customWidth="1"/>
    <col min="10" max="10" width="3.140625" style="1" customWidth="1"/>
    <col min="11" max="13" width="2.5703125" style="1" customWidth="1"/>
    <col min="14" max="14" width="4.140625" style="1" customWidth="1"/>
    <col min="15" max="16" width="2.5703125" style="1" customWidth="1"/>
    <col min="17" max="17" width="4.28515625" style="1" customWidth="1"/>
    <col min="18" max="22" width="2.5703125" style="1" customWidth="1"/>
    <col min="23" max="23" width="3.42578125" style="1" customWidth="1"/>
    <col min="24" max="27" width="2.5703125" style="1" customWidth="1"/>
    <col min="28" max="28" width="3.85546875" style="1" customWidth="1"/>
    <col min="29" max="29" width="7.5703125" style="1" customWidth="1"/>
    <col min="30" max="30" width="11.28515625" style="1" customWidth="1"/>
    <col min="31" max="32" width="15.7109375" style="1" customWidth="1"/>
    <col min="33" max="33" width="8.85546875" style="1" customWidth="1"/>
    <col min="34" max="34" width="9.42578125" style="1" customWidth="1"/>
    <col min="35" max="35" width="21.85546875" style="1" customWidth="1"/>
    <col min="36" max="36" width="5.42578125" style="1" customWidth="1"/>
    <col min="37" max="37" width="16.42578125" style="1" customWidth="1"/>
    <col min="38" max="62" width="5.42578125" style="1" customWidth="1"/>
    <col min="63" max="16384" width="1.85546875" style="1"/>
  </cols>
  <sheetData>
    <row r="1" spans="1:36" ht="13.5" thickBot="1">
      <c r="A1" s="1" t="s">
        <v>363</v>
      </c>
    </row>
    <row r="2" spans="1:36" ht="18.75" customHeight="1">
      <c r="B2" s="511" t="s">
        <v>368</v>
      </c>
      <c r="C2" s="512"/>
      <c r="D2" s="512"/>
      <c r="E2" s="512"/>
      <c r="F2" s="512"/>
      <c r="G2" s="512"/>
      <c r="H2" s="512"/>
      <c r="I2" s="512"/>
      <c r="J2" s="512"/>
      <c r="K2" s="512"/>
      <c r="L2" s="512"/>
      <c r="M2" s="512"/>
      <c r="N2" s="512"/>
      <c r="O2" s="512"/>
      <c r="P2" s="512"/>
      <c r="Q2" s="512"/>
      <c r="R2" s="512"/>
      <c r="S2" s="512"/>
      <c r="T2" s="512"/>
      <c r="U2" s="512"/>
      <c r="V2" s="512"/>
      <c r="W2" s="512"/>
      <c r="X2" s="512"/>
      <c r="Y2" s="512"/>
      <c r="Z2" s="512"/>
      <c r="AA2" s="512"/>
      <c r="AB2" s="512"/>
      <c r="AC2" s="512"/>
      <c r="AD2" s="512"/>
      <c r="AE2" s="512"/>
      <c r="AF2" s="513"/>
      <c r="AH2" s="517" t="s">
        <v>344</v>
      </c>
      <c r="AI2" s="102" t="s">
        <v>343</v>
      </c>
    </row>
    <row r="3" spans="1:36" ht="18.75" customHeight="1" thickBot="1">
      <c r="B3" s="514"/>
      <c r="C3" s="515"/>
      <c r="D3" s="515"/>
      <c r="E3" s="515"/>
      <c r="F3" s="515"/>
      <c r="G3" s="515"/>
      <c r="H3" s="515"/>
      <c r="I3" s="515"/>
      <c r="J3" s="515"/>
      <c r="K3" s="515"/>
      <c r="L3" s="515"/>
      <c r="M3" s="515"/>
      <c r="N3" s="515"/>
      <c r="O3" s="515"/>
      <c r="P3" s="515"/>
      <c r="Q3" s="515"/>
      <c r="R3" s="515"/>
      <c r="S3" s="515"/>
      <c r="T3" s="515"/>
      <c r="U3" s="515"/>
      <c r="V3" s="515"/>
      <c r="W3" s="515"/>
      <c r="X3" s="515"/>
      <c r="Y3" s="515"/>
      <c r="Z3" s="515"/>
      <c r="AA3" s="515"/>
      <c r="AB3" s="515"/>
      <c r="AC3" s="515"/>
      <c r="AD3" s="515"/>
      <c r="AE3" s="515"/>
      <c r="AF3" s="516"/>
      <c r="AH3" s="517"/>
      <c r="AI3" s="103" t="s">
        <v>345</v>
      </c>
    </row>
    <row r="4" spans="1:36" ht="13.5" thickBot="1"/>
    <row r="5" spans="1:36" ht="31.5" customHeight="1" thickBot="1">
      <c r="B5" s="433" t="s">
        <v>190</v>
      </c>
      <c r="C5" s="434"/>
      <c r="D5" s="434"/>
      <c r="E5" s="434"/>
      <c r="F5" s="434"/>
      <c r="G5" s="434"/>
      <c r="H5" s="434"/>
      <c r="I5" s="435"/>
      <c r="J5" s="370" t="s">
        <v>420</v>
      </c>
      <c r="K5" s="371"/>
      <c r="L5" s="371"/>
      <c r="M5" s="371"/>
      <c r="N5" s="371"/>
      <c r="O5" s="371"/>
      <c r="P5" s="371"/>
      <c r="Q5" s="371"/>
      <c r="R5" s="371"/>
      <c r="S5" s="371"/>
      <c r="T5" s="371"/>
      <c r="U5" s="371"/>
      <c r="V5" s="371"/>
      <c r="W5" s="371"/>
      <c r="X5" s="371"/>
      <c r="Y5" s="371"/>
      <c r="Z5" s="371"/>
      <c r="AA5" s="371"/>
      <c r="AB5" s="372"/>
      <c r="AD5" s="256" t="s">
        <v>191</v>
      </c>
      <c r="AE5" s="436" t="s">
        <v>420</v>
      </c>
      <c r="AF5" s="437"/>
    </row>
    <row r="6" spans="1:36" ht="13.5" thickBot="1"/>
    <row r="7" spans="1:36" ht="16.5" customHeight="1">
      <c r="B7" s="438" t="s">
        <v>2</v>
      </c>
      <c r="C7" s="377"/>
      <c r="D7" s="377"/>
      <c r="E7" s="377"/>
      <c r="F7" s="377"/>
      <c r="G7" s="377"/>
      <c r="H7" s="377"/>
      <c r="I7" s="378"/>
      <c r="J7" s="257">
        <v>3</v>
      </c>
      <c r="K7" s="439" t="str">
        <f>IF(J7=1,"Simples Nacional",IF(J7=2,"Lucro Real",IF(J7=3,"Lucro Presumido","Digite 1, 2 ou 3")))</f>
        <v>Lucro Presumido</v>
      </c>
      <c r="L7" s="440"/>
      <c r="M7" s="440"/>
      <c r="N7" s="440"/>
      <c r="O7" s="440"/>
      <c r="P7" s="441"/>
      <c r="Q7" s="442"/>
      <c r="AB7" s="376" t="s">
        <v>369</v>
      </c>
      <c r="AC7" s="377"/>
      <c r="AD7" s="378"/>
      <c r="AE7" s="443">
        <v>1000000303</v>
      </c>
      <c r="AF7" s="444"/>
    </row>
    <row r="8" spans="1:36" ht="16.5" customHeight="1" thickBot="1">
      <c r="B8" s="445" t="s">
        <v>4</v>
      </c>
      <c r="C8" s="374"/>
      <c r="D8" s="374"/>
      <c r="E8" s="374"/>
      <c r="F8" s="374"/>
      <c r="G8" s="374"/>
      <c r="H8" s="374"/>
      <c r="I8" s="375"/>
      <c r="J8" s="446">
        <f>1-AE137</f>
        <v>0.91349999999999998</v>
      </c>
      <c r="K8" s="447"/>
      <c r="L8" s="448"/>
      <c r="M8" s="448"/>
      <c r="N8" s="448"/>
      <c r="O8" s="448"/>
      <c r="P8" s="447"/>
      <c r="Q8" s="449"/>
      <c r="AB8" s="373" t="s">
        <v>479</v>
      </c>
      <c r="AC8" s="374"/>
      <c r="AD8" s="375"/>
      <c r="AE8" s="402" t="s">
        <v>480</v>
      </c>
      <c r="AF8" s="403"/>
    </row>
    <row r="9" spans="1:36" ht="13.5" thickBot="1"/>
    <row r="10" spans="1:36" ht="17.25" customHeight="1">
      <c r="B10" s="450" t="s">
        <v>6</v>
      </c>
      <c r="C10" s="451"/>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2"/>
    </row>
    <row r="11" spans="1:36" ht="17.25" customHeight="1">
      <c r="B11" s="416" t="s">
        <v>7</v>
      </c>
      <c r="C11" s="417"/>
      <c r="D11" s="418"/>
      <c r="E11" s="53" t="s">
        <v>8</v>
      </c>
      <c r="F11" s="4"/>
      <c r="G11" s="4"/>
      <c r="H11" s="4"/>
      <c r="I11" s="4"/>
      <c r="J11" s="4"/>
      <c r="K11" s="4"/>
      <c r="L11" s="4"/>
      <c r="M11" s="4"/>
      <c r="N11" s="4"/>
      <c r="O11" s="4"/>
      <c r="P11" s="4"/>
      <c r="Q11" s="4"/>
      <c r="R11" s="4"/>
      <c r="S11" s="4"/>
      <c r="T11" s="4"/>
      <c r="U11" s="4"/>
      <c r="V11" s="4"/>
      <c r="W11" s="4"/>
      <c r="X11" s="4"/>
      <c r="Y11" s="4"/>
      <c r="Z11" s="4"/>
      <c r="AA11" s="4"/>
      <c r="AB11" s="4"/>
      <c r="AC11" s="4"/>
      <c r="AD11" s="4"/>
      <c r="AE11" s="453">
        <f ca="1">TODAY()</f>
        <v>46001</v>
      </c>
      <c r="AF11" s="454"/>
    </row>
    <row r="12" spans="1:36" ht="17.25" customHeight="1">
      <c r="B12" s="416" t="s">
        <v>9</v>
      </c>
      <c r="C12" s="417"/>
      <c r="D12" s="418"/>
      <c r="E12" s="53" t="s">
        <v>10</v>
      </c>
      <c r="F12" s="4"/>
      <c r="G12" s="4"/>
      <c r="H12" s="4"/>
      <c r="I12" s="4"/>
      <c r="J12" s="4"/>
      <c r="K12" s="4"/>
      <c r="L12" s="4"/>
      <c r="M12" s="4"/>
      <c r="N12" s="4"/>
      <c r="O12" s="4"/>
      <c r="P12" s="4"/>
      <c r="Q12" s="4"/>
      <c r="R12" s="4"/>
      <c r="S12" s="4"/>
      <c r="T12" s="4"/>
      <c r="U12" s="4"/>
      <c r="V12" s="4"/>
      <c r="W12" s="4"/>
      <c r="X12" s="4"/>
      <c r="Y12" s="4"/>
      <c r="Z12" s="4"/>
      <c r="AA12" s="4"/>
      <c r="AB12" s="4"/>
      <c r="AC12" s="4"/>
      <c r="AD12" s="4"/>
      <c r="AE12" s="455" t="s">
        <v>321</v>
      </c>
      <c r="AF12" s="456"/>
    </row>
    <row r="13" spans="1:36" ht="17.25" customHeight="1">
      <c r="B13" s="416" t="s">
        <v>11</v>
      </c>
      <c r="C13" s="417"/>
      <c r="D13" s="418"/>
      <c r="E13" s="53" t="s">
        <v>12</v>
      </c>
      <c r="F13" s="4"/>
      <c r="G13" s="4"/>
      <c r="H13" s="4"/>
      <c r="I13" s="4"/>
      <c r="J13" s="4"/>
      <c r="K13" s="4"/>
      <c r="L13" s="4"/>
      <c r="M13" s="4"/>
      <c r="N13" s="4"/>
      <c r="O13" s="4"/>
      <c r="P13" s="4"/>
      <c r="Q13" s="4"/>
      <c r="R13" s="4"/>
      <c r="S13" s="4"/>
      <c r="T13" s="4"/>
      <c r="U13" s="4"/>
      <c r="V13" s="4"/>
      <c r="W13" s="4"/>
      <c r="X13" s="4"/>
      <c r="Y13" s="4"/>
      <c r="Z13" s="4"/>
      <c r="AA13" s="4"/>
      <c r="AB13" s="4"/>
      <c r="AC13" s="4"/>
      <c r="AD13" s="127" t="s">
        <v>193</v>
      </c>
      <c r="AE13" s="457" t="s">
        <v>299</v>
      </c>
      <c r="AF13" s="458"/>
      <c r="AG13" s="427" t="s">
        <v>421</v>
      </c>
      <c r="AH13" s="427"/>
      <c r="AI13" s="427"/>
      <c r="AJ13" s="427"/>
    </row>
    <row r="14" spans="1:36" ht="17.25" customHeight="1" thickBot="1">
      <c r="B14" s="373" t="s">
        <v>13</v>
      </c>
      <c r="C14" s="374"/>
      <c r="D14" s="375"/>
      <c r="E14" s="110" t="s">
        <v>14</v>
      </c>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459">
        <v>30</v>
      </c>
      <c r="AF14" s="460"/>
    </row>
    <row r="15" spans="1:36" ht="13.5" thickBot="1">
      <c r="B15" s="54"/>
      <c r="C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row>
    <row r="16" spans="1:36" ht="16.5" customHeight="1">
      <c r="B16" s="450" t="s">
        <v>15</v>
      </c>
      <c r="C16" s="451"/>
      <c r="D16" s="451"/>
      <c r="E16" s="451"/>
      <c r="F16" s="451"/>
      <c r="G16" s="451"/>
      <c r="H16" s="451"/>
      <c r="I16" s="451"/>
      <c r="J16" s="451"/>
      <c r="K16" s="451"/>
      <c r="L16" s="451"/>
      <c r="M16" s="451"/>
      <c r="N16" s="451"/>
      <c r="O16" s="451"/>
      <c r="P16" s="451"/>
      <c r="Q16" s="451"/>
      <c r="R16" s="451"/>
      <c r="S16" s="451"/>
      <c r="T16" s="451"/>
      <c r="U16" s="451"/>
      <c r="V16" s="451"/>
      <c r="W16" s="451"/>
      <c r="X16" s="451"/>
      <c r="Y16" s="451"/>
      <c r="Z16" s="451"/>
      <c r="AA16" s="451"/>
      <c r="AB16" s="451"/>
      <c r="AC16" s="451"/>
      <c r="AD16" s="451"/>
      <c r="AE16" s="451"/>
      <c r="AF16" s="452"/>
    </row>
    <row r="17" spans="2:36" ht="15.75" customHeight="1">
      <c r="B17" s="255" t="s">
        <v>16</v>
      </c>
      <c r="C17" s="78"/>
      <c r="D17" s="78"/>
      <c r="E17" s="258"/>
      <c r="F17" s="78"/>
      <c r="G17" s="78"/>
      <c r="H17" s="78"/>
      <c r="I17" s="78"/>
      <c r="J17" s="78"/>
      <c r="K17" s="78"/>
      <c r="L17" s="78"/>
      <c r="M17" s="78"/>
      <c r="N17" s="78"/>
      <c r="O17" s="78"/>
      <c r="P17" s="78"/>
      <c r="Q17" s="78"/>
      <c r="R17" s="78"/>
      <c r="S17" s="78"/>
      <c r="T17" s="78"/>
      <c r="U17" s="78"/>
      <c r="V17" s="78"/>
      <c r="W17" s="79"/>
      <c r="X17" s="77" t="s">
        <v>17</v>
      </c>
      <c r="Y17" s="80"/>
      <c r="Z17" s="80"/>
      <c r="AA17" s="80"/>
      <c r="AB17" s="80"/>
      <c r="AC17" s="80"/>
      <c r="AD17" s="81"/>
      <c r="AE17" s="461" t="s">
        <v>194</v>
      </c>
      <c r="AF17" s="462"/>
    </row>
    <row r="18" spans="2:36" s="6" customFormat="1" ht="24.75" customHeight="1">
      <c r="B18" s="388" t="s">
        <v>367</v>
      </c>
      <c r="C18" s="389"/>
      <c r="D18" s="389"/>
      <c r="E18" s="389"/>
      <c r="F18" s="389"/>
      <c r="G18" s="389"/>
      <c r="H18" s="389"/>
      <c r="I18" s="389"/>
      <c r="J18" s="389"/>
      <c r="K18" s="389"/>
      <c r="L18" s="390"/>
      <c r="M18" s="390"/>
      <c r="N18" s="390"/>
      <c r="O18" s="390"/>
      <c r="P18" s="389"/>
      <c r="Q18" s="389"/>
      <c r="R18" s="389"/>
      <c r="S18" s="389"/>
      <c r="T18" s="389"/>
      <c r="U18" s="389"/>
      <c r="V18" s="389"/>
      <c r="W18" s="391"/>
      <c r="X18" s="392" t="s">
        <v>195</v>
      </c>
      <c r="Y18" s="393"/>
      <c r="Z18" s="393"/>
      <c r="AA18" s="393"/>
      <c r="AB18" s="393"/>
      <c r="AC18" s="393"/>
      <c r="AD18" s="394"/>
      <c r="AE18" s="395">
        <v>2</v>
      </c>
      <c r="AF18" s="396"/>
    </row>
    <row r="19" spans="2:36" s="6" customFormat="1" ht="21" customHeight="1">
      <c r="B19" s="379" t="s">
        <v>196</v>
      </c>
      <c r="C19" s="380"/>
      <c r="D19" s="380"/>
      <c r="E19" s="380"/>
      <c r="F19" s="380"/>
      <c r="G19" s="380"/>
      <c r="H19" s="380"/>
      <c r="I19" s="380"/>
      <c r="J19" s="380"/>
      <c r="K19" s="380"/>
      <c r="L19" s="380"/>
      <c r="M19" s="380"/>
      <c r="N19" s="380"/>
      <c r="O19" s="380"/>
      <c r="P19" s="380"/>
      <c r="Q19" s="380"/>
      <c r="R19" s="380"/>
      <c r="S19" s="380"/>
      <c r="T19" s="380"/>
      <c r="U19" s="380"/>
      <c r="V19" s="380"/>
      <c r="W19" s="381"/>
      <c r="X19" s="392" t="s">
        <v>364</v>
      </c>
      <c r="Y19" s="393"/>
      <c r="Z19" s="393"/>
      <c r="AA19" s="393"/>
      <c r="AB19" s="393"/>
      <c r="AC19" s="393"/>
      <c r="AD19" s="394"/>
      <c r="AE19" s="397">
        <v>31</v>
      </c>
      <c r="AF19" s="398"/>
    </row>
    <row r="20" spans="2:36" s="6" customFormat="1" ht="21" customHeight="1">
      <c r="B20" s="382"/>
      <c r="C20" s="383"/>
      <c r="D20" s="383"/>
      <c r="E20" s="383"/>
      <c r="F20" s="383"/>
      <c r="G20" s="383"/>
      <c r="H20" s="383"/>
      <c r="I20" s="383"/>
      <c r="J20" s="383"/>
      <c r="K20" s="383"/>
      <c r="L20" s="383"/>
      <c r="M20" s="383"/>
      <c r="N20" s="383"/>
      <c r="O20" s="383"/>
      <c r="P20" s="383"/>
      <c r="Q20" s="383"/>
      <c r="R20" s="383"/>
      <c r="S20" s="383"/>
      <c r="T20" s="383"/>
      <c r="U20" s="383"/>
      <c r="V20" s="383"/>
      <c r="W20" s="384"/>
      <c r="X20" s="392" t="s">
        <v>365</v>
      </c>
      <c r="Y20" s="393"/>
      <c r="Z20" s="393"/>
      <c r="AA20" s="393"/>
      <c r="AB20" s="393"/>
      <c r="AC20" s="393"/>
      <c r="AD20" s="394"/>
      <c r="AE20" s="397">
        <f>AE18*AE19</f>
        <v>62</v>
      </c>
      <c r="AF20" s="398"/>
    </row>
    <row r="21" spans="2:36" s="6" customFormat="1" ht="16.5" customHeight="1" thickBot="1">
      <c r="B21" s="385"/>
      <c r="C21" s="386"/>
      <c r="D21" s="386"/>
      <c r="E21" s="386"/>
      <c r="F21" s="386"/>
      <c r="G21" s="386"/>
      <c r="H21" s="386"/>
      <c r="I21" s="386"/>
      <c r="J21" s="386"/>
      <c r="K21" s="386"/>
      <c r="L21" s="386"/>
      <c r="M21" s="386"/>
      <c r="N21" s="386"/>
      <c r="O21" s="386"/>
      <c r="P21" s="386"/>
      <c r="Q21" s="386"/>
      <c r="R21" s="386"/>
      <c r="S21" s="386"/>
      <c r="T21" s="386"/>
      <c r="U21" s="386"/>
      <c r="V21" s="386"/>
      <c r="W21" s="387"/>
      <c r="X21" s="399" t="s">
        <v>197</v>
      </c>
      <c r="Y21" s="400"/>
      <c r="Z21" s="400"/>
      <c r="AA21" s="400"/>
      <c r="AB21" s="400"/>
      <c r="AC21" s="400"/>
      <c r="AD21" s="401"/>
      <c r="AE21" s="402" t="s">
        <v>198</v>
      </c>
      <c r="AF21" s="403"/>
    </row>
    <row r="22" spans="2:36" ht="13.5" thickBot="1"/>
    <row r="23" spans="2:36" ht="12.75" customHeight="1">
      <c r="B23" s="404" t="s">
        <v>22</v>
      </c>
      <c r="C23" s="405"/>
      <c r="D23" s="405"/>
      <c r="E23" s="405"/>
      <c r="F23" s="405"/>
      <c r="G23" s="405"/>
      <c r="H23" s="405"/>
      <c r="I23" s="405"/>
      <c r="J23" s="405"/>
      <c r="K23" s="405"/>
      <c r="L23" s="405"/>
      <c r="M23" s="405"/>
      <c r="N23" s="405"/>
      <c r="O23" s="405"/>
      <c r="P23" s="405"/>
      <c r="Q23" s="405"/>
      <c r="R23" s="405"/>
      <c r="S23" s="405"/>
      <c r="T23" s="405"/>
      <c r="U23" s="405"/>
      <c r="V23" s="405"/>
      <c r="W23" s="405"/>
      <c r="X23" s="405"/>
      <c r="Y23" s="405"/>
      <c r="Z23" s="405"/>
      <c r="AA23" s="405"/>
      <c r="AB23" s="405"/>
      <c r="AC23" s="405"/>
      <c r="AD23" s="406"/>
      <c r="AE23" s="410" t="s">
        <v>199</v>
      </c>
      <c r="AF23" s="411"/>
    </row>
    <row r="24" spans="2:36" ht="12.75" customHeight="1">
      <c r="B24" s="407"/>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9"/>
      <c r="AE24" s="412"/>
      <c r="AF24" s="413"/>
    </row>
    <row r="25" spans="2:36" ht="20.25" customHeight="1">
      <c r="B25" s="255" t="s">
        <v>23</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414"/>
      <c r="AF25" s="415"/>
    </row>
    <row r="26" spans="2:36" ht="24" customHeight="1">
      <c r="B26" s="416">
        <v>1</v>
      </c>
      <c r="C26" s="417"/>
      <c r="D26" s="418"/>
      <c r="E26" s="419" t="s">
        <v>25</v>
      </c>
      <c r="F26" s="420"/>
      <c r="G26" s="420"/>
      <c r="H26" s="420"/>
      <c r="I26" s="420"/>
      <c r="J26" s="420"/>
      <c r="K26" s="420"/>
      <c r="L26" s="295"/>
      <c r="M26" s="295"/>
      <c r="N26" s="295"/>
      <c r="O26" s="295"/>
      <c r="P26" s="420"/>
      <c r="Q26" s="420"/>
      <c r="R26" s="420"/>
      <c r="S26" s="420"/>
      <c r="T26" s="420"/>
      <c r="U26" s="420"/>
      <c r="V26" s="420"/>
      <c r="W26" s="420"/>
      <c r="X26" s="420"/>
      <c r="Y26" s="420"/>
      <c r="Z26" s="420"/>
      <c r="AA26" s="420"/>
      <c r="AB26" s="420"/>
      <c r="AC26" s="420"/>
      <c r="AD26" s="421"/>
      <c r="AE26" s="422" t="str">
        <f>IF(B18="","",B18)</f>
        <v>VIGILÂNCIA ARMADA – DIURNO</v>
      </c>
      <c r="AF26" s="423"/>
    </row>
    <row r="27" spans="2:36" ht="26.25" customHeight="1">
      <c r="B27" s="416">
        <v>2</v>
      </c>
      <c r="C27" s="417"/>
      <c r="D27" s="418"/>
      <c r="E27" s="419" t="s">
        <v>200</v>
      </c>
      <c r="F27" s="420"/>
      <c r="G27" s="420"/>
      <c r="H27" s="420"/>
      <c r="I27" s="420"/>
      <c r="J27" s="420"/>
      <c r="K27" s="420"/>
      <c r="L27" s="295"/>
      <c r="M27" s="295"/>
      <c r="N27" s="295"/>
      <c r="O27" s="295"/>
      <c r="P27" s="420"/>
      <c r="Q27" s="420"/>
      <c r="R27" s="420"/>
      <c r="S27" s="420"/>
      <c r="T27" s="420"/>
      <c r="U27" s="420"/>
      <c r="V27" s="420"/>
      <c r="W27" s="420"/>
      <c r="X27" s="420"/>
      <c r="Y27" s="420"/>
      <c r="Z27" s="420"/>
      <c r="AA27" s="420"/>
      <c r="AB27" s="420"/>
      <c r="AC27" s="420"/>
      <c r="AD27" s="421"/>
      <c r="AE27" s="424" t="s">
        <v>201</v>
      </c>
      <c r="AF27" s="425"/>
      <c r="AG27" s="143"/>
    </row>
    <row r="28" spans="2:36" ht="26.25" customHeight="1">
      <c r="B28" s="416">
        <v>3</v>
      </c>
      <c r="C28" s="426"/>
      <c r="D28" s="426"/>
      <c r="E28" s="419" t="s">
        <v>202</v>
      </c>
      <c r="F28" s="420"/>
      <c r="G28" s="420"/>
      <c r="H28" s="420"/>
      <c r="I28" s="420"/>
      <c r="J28" s="420"/>
      <c r="K28" s="420"/>
      <c r="L28" s="295"/>
      <c r="M28" s="295"/>
      <c r="N28" s="295"/>
      <c r="O28" s="295"/>
      <c r="P28" s="420"/>
      <c r="Q28" s="420"/>
      <c r="R28" s="420"/>
      <c r="S28" s="420"/>
      <c r="T28" s="420"/>
      <c r="U28" s="420"/>
      <c r="V28" s="420"/>
      <c r="W28" s="420"/>
      <c r="X28" s="420"/>
      <c r="Y28" s="420"/>
      <c r="Z28" s="420"/>
      <c r="AA28" s="420"/>
      <c r="AB28" s="420"/>
      <c r="AC28" s="420"/>
      <c r="AD28" s="421"/>
      <c r="AE28" s="463">
        <v>2275.73</v>
      </c>
      <c r="AF28" s="464"/>
      <c r="AG28" s="427" t="s">
        <v>322</v>
      </c>
      <c r="AH28" s="427"/>
      <c r="AI28" s="427"/>
      <c r="AJ28" s="427"/>
    </row>
    <row r="29" spans="2:36" ht="26.25" customHeight="1">
      <c r="B29" s="416">
        <v>4</v>
      </c>
      <c r="C29" s="426"/>
      <c r="D29" s="426"/>
      <c r="E29" s="419" t="s">
        <v>27</v>
      </c>
      <c r="F29" s="419"/>
      <c r="G29" s="419"/>
      <c r="H29" s="419"/>
      <c r="I29" s="419"/>
      <c r="J29" s="419"/>
      <c r="K29" s="419"/>
      <c r="L29" s="295"/>
      <c r="M29" s="419"/>
      <c r="N29" s="419"/>
      <c r="O29" s="419"/>
      <c r="P29" s="419"/>
      <c r="Q29" s="419"/>
      <c r="R29" s="419"/>
      <c r="S29" s="419"/>
      <c r="T29" s="419"/>
      <c r="U29" s="419"/>
      <c r="V29" s="419"/>
      <c r="W29" s="419"/>
      <c r="X29" s="419"/>
      <c r="Y29" s="419"/>
      <c r="Z29" s="419"/>
      <c r="AA29" s="419"/>
      <c r="AB29" s="419"/>
      <c r="AC29" s="419"/>
      <c r="AD29" s="419"/>
      <c r="AE29" s="424" t="s">
        <v>419</v>
      </c>
      <c r="AF29" s="425"/>
    </row>
    <row r="30" spans="2:36" ht="26.25" customHeight="1">
      <c r="B30" s="416">
        <v>5</v>
      </c>
      <c r="C30" s="426"/>
      <c r="D30" s="426"/>
      <c r="E30" s="419" t="s">
        <v>28</v>
      </c>
      <c r="F30" s="419"/>
      <c r="G30" s="419"/>
      <c r="H30" s="419"/>
      <c r="I30" s="419"/>
      <c r="J30" s="419"/>
      <c r="K30" s="419"/>
      <c r="L30" s="295"/>
      <c r="M30" s="419"/>
      <c r="N30" s="419"/>
      <c r="O30" s="419"/>
      <c r="P30" s="419"/>
      <c r="Q30" s="419"/>
      <c r="R30" s="419"/>
      <c r="S30" s="419"/>
      <c r="T30" s="419"/>
      <c r="U30" s="419"/>
      <c r="V30" s="419"/>
      <c r="W30" s="419"/>
      <c r="X30" s="419"/>
      <c r="Y30" s="419"/>
      <c r="Z30" s="419"/>
      <c r="AA30" s="419"/>
      <c r="AB30" s="419"/>
      <c r="AC30" s="419"/>
      <c r="AD30" s="419"/>
      <c r="AE30" s="453">
        <v>45323</v>
      </c>
      <c r="AF30" s="454"/>
    </row>
    <row r="31" spans="2:36" ht="26.25" customHeight="1" thickBot="1">
      <c r="B31" s="373">
        <v>6</v>
      </c>
      <c r="C31" s="374"/>
      <c r="D31" s="375"/>
      <c r="E31" s="399" t="s">
        <v>300</v>
      </c>
      <c r="F31" s="400"/>
      <c r="G31" s="400"/>
      <c r="H31" s="400"/>
      <c r="I31" s="400"/>
      <c r="J31" s="400"/>
      <c r="K31" s="400"/>
      <c r="L31" s="465"/>
      <c r="M31" s="465"/>
      <c r="N31" s="465"/>
      <c r="O31" s="465"/>
      <c r="P31" s="400"/>
      <c r="Q31" s="400"/>
      <c r="R31" s="400"/>
      <c r="S31" s="400"/>
      <c r="T31" s="400"/>
      <c r="U31" s="400"/>
      <c r="V31" s="400"/>
      <c r="W31" s="400"/>
      <c r="X31" s="400"/>
      <c r="Y31" s="400"/>
      <c r="Z31" s="400"/>
      <c r="AA31" s="400"/>
      <c r="AB31" s="400"/>
      <c r="AC31" s="400"/>
      <c r="AD31" s="401"/>
      <c r="AE31" s="466">
        <v>1518</v>
      </c>
      <c r="AF31" s="467"/>
      <c r="AG31" s="1" t="s">
        <v>323</v>
      </c>
    </row>
    <row r="32" spans="2:36" s="55" customFormat="1" ht="13.5" thickBot="1">
      <c r="D32" s="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56"/>
      <c r="AF32" s="57"/>
    </row>
    <row r="33" spans="1:37" ht="24" customHeight="1" thickBot="1">
      <c r="B33" s="518" t="s">
        <v>29</v>
      </c>
      <c r="C33" s="519"/>
      <c r="D33" s="519"/>
      <c r="E33" s="519"/>
      <c r="F33" s="519"/>
      <c r="G33" s="519"/>
      <c r="H33" s="519"/>
      <c r="I33" s="519"/>
      <c r="J33" s="519"/>
      <c r="K33" s="519"/>
      <c r="L33" s="519"/>
      <c r="M33" s="519"/>
      <c r="N33" s="519"/>
      <c r="O33" s="519"/>
      <c r="P33" s="519"/>
      <c r="Q33" s="519"/>
      <c r="R33" s="519"/>
      <c r="S33" s="519"/>
      <c r="T33" s="519"/>
      <c r="U33" s="519"/>
      <c r="V33" s="519"/>
      <c r="W33" s="519"/>
      <c r="X33" s="519"/>
      <c r="Y33" s="519"/>
      <c r="Z33" s="519"/>
      <c r="AA33" s="519"/>
      <c r="AB33" s="519"/>
      <c r="AC33" s="519"/>
      <c r="AD33" s="519"/>
      <c r="AE33" s="519"/>
      <c r="AF33" s="520"/>
    </row>
    <row r="34" spans="1:37" s="55" customFormat="1" ht="13.5" thickBot="1">
      <c r="D34" s="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56"/>
      <c r="AF34" s="57"/>
    </row>
    <row r="35" spans="1:37" ht="18.75" customHeight="1">
      <c r="B35" s="472">
        <v>1</v>
      </c>
      <c r="C35" s="473"/>
      <c r="D35" s="473"/>
      <c r="E35" s="474" t="s">
        <v>325</v>
      </c>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216" t="s">
        <v>31</v>
      </c>
      <c r="AF35" s="217" t="s">
        <v>24</v>
      </c>
    </row>
    <row r="36" spans="1:37" ht="25.5" customHeight="1">
      <c r="B36" s="468" t="s">
        <v>7</v>
      </c>
      <c r="C36" s="284"/>
      <c r="D36" s="284"/>
      <c r="E36" s="295" t="s">
        <v>204</v>
      </c>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179" t="str">
        <f>IF(AF36&lt;AE28,"Salário Base insuficiente!","Salário Base atende a CCT.")</f>
        <v>Salário Base atende a CCT.</v>
      </c>
      <c r="AF36" s="253">
        <v>2276</v>
      </c>
      <c r="AG36" s="1" t="s">
        <v>371</v>
      </c>
    </row>
    <row r="37" spans="1:37" ht="21.75" customHeight="1">
      <c r="B37" s="468" t="s">
        <v>9</v>
      </c>
      <c r="C37" s="284"/>
      <c r="D37" s="284"/>
      <c r="E37" s="53" t="s">
        <v>205</v>
      </c>
      <c r="F37" s="4"/>
      <c r="G37" s="4"/>
      <c r="H37" s="4"/>
      <c r="I37" s="4"/>
      <c r="J37" s="4"/>
      <c r="K37" s="4"/>
      <c r="L37" s="4"/>
      <c r="M37" s="4"/>
      <c r="N37" s="4"/>
      <c r="O37" s="4"/>
      <c r="P37" s="4"/>
      <c r="Q37" s="4"/>
      <c r="R37" s="4"/>
      <c r="S37" s="4"/>
      <c r="T37" s="4"/>
      <c r="U37" s="4"/>
      <c r="V37" s="4"/>
      <c r="W37" s="4"/>
      <c r="X37" s="4"/>
      <c r="Y37" s="4"/>
      <c r="Z37" s="4"/>
      <c r="AA37" s="4"/>
      <c r="AB37" s="4"/>
      <c r="AC37" s="4"/>
      <c r="AD37" s="58"/>
      <c r="AE37" s="131">
        <v>0.3</v>
      </c>
      <c r="AF37" s="230">
        <f>ROUND(AF$36*AE37,2)</f>
        <v>682.8</v>
      </c>
      <c r="AG37" s="429" t="s">
        <v>370</v>
      </c>
      <c r="AH37" s="432"/>
      <c r="AI37" s="432"/>
      <c r="AJ37" s="432"/>
      <c r="AK37" s="432"/>
    </row>
    <row r="38" spans="1:37" ht="21.75" customHeight="1">
      <c r="B38" s="468" t="s">
        <v>11</v>
      </c>
      <c r="C38" s="284"/>
      <c r="D38" s="284"/>
      <c r="E38" s="475" t="s">
        <v>206</v>
      </c>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127"/>
      <c r="AE38" s="131">
        <v>0</v>
      </c>
      <c r="AF38" s="230">
        <f>IF(AD38&lt;&gt;"",AE38*AF36,AE38*AE$31)</f>
        <v>0</v>
      </c>
      <c r="AG38" s="429"/>
      <c r="AH38" s="432"/>
      <c r="AI38" s="432"/>
      <c r="AJ38" s="432"/>
      <c r="AK38" s="432"/>
    </row>
    <row r="39" spans="1:37" ht="21.75" customHeight="1">
      <c r="B39" s="468" t="s">
        <v>13</v>
      </c>
      <c r="C39" s="284"/>
      <c r="D39" s="284"/>
      <c r="E39" s="53" t="s">
        <v>207</v>
      </c>
      <c r="F39" s="4"/>
      <c r="G39" s="4"/>
      <c r="H39" s="4"/>
      <c r="I39" s="4"/>
      <c r="J39" s="4"/>
      <c r="K39" s="4"/>
      <c r="L39" s="4"/>
      <c r="M39" s="4"/>
      <c r="N39" s="4"/>
      <c r="O39" s="4"/>
      <c r="P39" s="4"/>
      <c r="Q39" s="4"/>
      <c r="R39" s="4"/>
      <c r="S39" s="4"/>
      <c r="T39" s="4"/>
      <c r="U39" s="4"/>
      <c r="V39" s="4"/>
      <c r="W39" s="4"/>
      <c r="X39" s="4"/>
      <c r="Y39" s="4"/>
      <c r="Z39" s="4"/>
      <c r="AA39" s="4"/>
      <c r="AB39" s="4"/>
      <c r="AC39" s="4"/>
      <c r="AD39" s="127"/>
      <c r="AE39" s="142">
        <f>IF(AF$36=0,"",AF39/AF$36)</f>
        <v>0</v>
      </c>
      <c r="AF39" s="230">
        <f>IF(AD39="",0,ROUND((8*(7*4.345))*(((AF$36+AF$37)/220)*AD39)/2,2))</f>
        <v>0</v>
      </c>
    </row>
    <row r="40" spans="1:37" ht="21.75" customHeight="1">
      <c r="A40" s="9"/>
      <c r="B40" s="468" t="s">
        <v>37</v>
      </c>
      <c r="C40" s="284"/>
      <c r="D40" s="284"/>
      <c r="E40" s="358" t="s">
        <v>208</v>
      </c>
      <c r="F40" s="358"/>
      <c r="G40" s="358"/>
      <c r="H40" s="358"/>
      <c r="I40" s="358"/>
      <c r="J40" s="358"/>
      <c r="K40" s="358"/>
      <c r="L40" s="358"/>
      <c r="M40" s="358"/>
      <c r="N40" s="358"/>
      <c r="O40" s="358"/>
      <c r="P40" s="358"/>
      <c r="Q40" s="358"/>
      <c r="R40" s="358"/>
      <c r="S40" s="358"/>
      <c r="T40" s="358"/>
      <c r="U40" s="358"/>
      <c r="V40" s="358"/>
      <c r="W40" s="358"/>
      <c r="X40" s="358"/>
      <c r="Y40" s="358"/>
      <c r="Z40" s="358"/>
      <c r="AA40" s="358"/>
      <c r="AB40" s="358"/>
      <c r="AC40" s="358"/>
      <c r="AD40" s="59" t="str">
        <f>IF(AD39&gt;0,"X","")</f>
        <v/>
      </c>
      <c r="AE40" s="142">
        <f>IF(AF$36=0,"",AF40/AF$36)</f>
        <v>0</v>
      </c>
      <c r="AF40" s="230">
        <f>IF(AD40="",0,ROUND((1*(7*4.345))*((AF$36+AF$37)/220)/2,2))</f>
        <v>0</v>
      </c>
      <c r="AG40" s="60"/>
    </row>
    <row r="41" spans="1:37" ht="29.25" customHeight="1">
      <c r="B41" s="468" t="s">
        <v>39</v>
      </c>
      <c r="C41" s="284"/>
      <c r="D41" s="284"/>
      <c r="E41" s="358" t="s">
        <v>209</v>
      </c>
      <c r="F41" s="358"/>
      <c r="G41" s="358"/>
      <c r="H41" s="358"/>
      <c r="I41" s="358"/>
      <c r="J41" s="358"/>
      <c r="K41" s="358"/>
      <c r="L41" s="469"/>
      <c r="M41" s="469"/>
      <c r="N41" s="469"/>
      <c r="O41" s="469"/>
      <c r="P41" s="469"/>
      <c r="Q41" s="469"/>
      <c r="R41" s="469"/>
      <c r="S41" s="469"/>
      <c r="T41" s="469"/>
      <c r="U41" s="469"/>
      <c r="V41" s="469"/>
      <c r="W41" s="469"/>
      <c r="X41" s="469"/>
      <c r="Y41" s="469"/>
      <c r="Z41" s="469"/>
      <c r="AA41" s="469"/>
      <c r="AB41" s="469"/>
      <c r="AC41" s="469"/>
      <c r="AD41" s="469"/>
      <c r="AE41" s="142">
        <f>IF(AF$36=0,"",AF41/AF$36)</f>
        <v>0</v>
      </c>
      <c r="AF41" s="253"/>
    </row>
    <row r="42" spans="1:37" ht="18.75" customHeight="1" thickBot="1">
      <c r="B42" s="221" t="s">
        <v>45</v>
      </c>
      <c r="C42" s="222"/>
      <c r="D42" s="222"/>
      <c r="E42" s="222"/>
      <c r="F42" s="222"/>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2"/>
      <c r="AE42" s="254"/>
      <c r="AF42" s="224">
        <f>SUM(AF36:AF41)</f>
        <v>2958.8</v>
      </c>
    </row>
    <row r="43" spans="1:37" ht="17.25" customHeight="1" thickBot="1"/>
    <row r="44" spans="1:37" ht="24" customHeight="1" thickBot="1">
      <c r="B44" s="518" t="s">
        <v>210</v>
      </c>
      <c r="C44" s="519"/>
      <c r="D44" s="519"/>
      <c r="E44" s="519"/>
      <c r="F44" s="519"/>
      <c r="G44" s="519"/>
      <c r="H44" s="519"/>
      <c r="I44" s="519"/>
      <c r="J44" s="519"/>
      <c r="K44" s="519"/>
      <c r="L44" s="519"/>
      <c r="M44" s="519"/>
      <c r="N44" s="519"/>
      <c r="O44" s="519"/>
      <c r="P44" s="519"/>
      <c r="Q44" s="519"/>
      <c r="R44" s="519"/>
      <c r="S44" s="519"/>
      <c r="T44" s="519"/>
      <c r="U44" s="519"/>
      <c r="V44" s="519"/>
      <c r="W44" s="519"/>
      <c r="X44" s="519"/>
      <c r="Y44" s="519"/>
      <c r="Z44" s="519"/>
      <c r="AA44" s="519"/>
      <c r="AB44" s="519"/>
      <c r="AC44" s="519"/>
      <c r="AD44" s="519"/>
      <c r="AE44" s="519"/>
      <c r="AF44" s="520"/>
    </row>
    <row r="45" spans="1:37" ht="11.25" customHeight="1" thickBot="1"/>
    <row r="46" spans="1:37" ht="25.5">
      <c r="A46" s="9"/>
      <c r="B46" s="227" t="s">
        <v>211</v>
      </c>
      <c r="C46" s="228"/>
      <c r="D46" s="228"/>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8"/>
      <c r="AE46" s="470" t="s">
        <v>203</v>
      </c>
      <c r="AF46" s="471"/>
    </row>
    <row r="47" spans="1:37" ht="17.25" customHeight="1">
      <c r="A47" s="9"/>
      <c r="B47" s="476" t="s">
        <v>212</v>
      </c>
      <c r="C47" s="477"/>
      <c r="D47" s="477"/>
      <c r="E47" s="478" t="s">
        <v>213</v>
      </c>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82" t="s">
        <v>31</v>
      </c>
      <c r="AF47" s="229" t="s">
        <v>24</v>
      </c>
    </row>
    <row r="48" spans="1:37" ht="17.25" customHeight="1">
      <c r="B48" s="479" t="s">
        <v>7</v>
      </c>
      <c r="C48" s="480"/>
      <c r="D48" s="480"/>
      <c r="E48" s="481" t="s">
        <v>214</v>
      </c>
      <c r="F48" s="481"/>
      <c r="G48" s="481"/>
      <c r="H48" s="481"/>
      <c r="I48" s="481"/>
      <c r="J48" s="481"/>
      <c r="K48" s="481"/>
      <c r="L48" s="481"/>
      <c r="M48" s="481"/>
      <c r="N48" s="481"/>
      <c r="O48" s="481"/>
      <c r="P48" s="481"/>
      <c r="Q48" s="481"/>
      <c r="R48" s="481"/>
      <c r="S48" s="481"/>
      <c r="T48" s="481"/>
      <c r="U48" s="481"/>
      <c r="V48" s="481"/>
      <c r="W48" s="481"/>
      <c r="X48" s="481"/>
      <c r="Y48" s="481"/>
      <c r="Z48" s="481"/>
      <c r="AA48" s="481"/>
      <c r="AB48" s="481"/>
      <c r="AC48" s="481"/>
      <c r="AD48" s="481"/>
      <c r="AE48" s="142">
        <f>1/12</f>
        <v>8.3333333333333329E-2</v>
      </c>
      <c r="AF48" s="234">
        <f>ROUND(AE48*AF$42,2)</f>
        <v>246.57</v>
      </c>
    </row>
    <row r="49" spans="2:37" ht="17.25" customHeight="1">
      <c r="B49" s="479" t="s">
        <v>9</v>
      </c>
      <c r="C49" s="480"/>
      <c r="D49" s="480"/>
      <c r="E49" s="482" t="s">
        <v>215</v>
      </c>
      <c r="F49" s="482"/>
      <c r="G49" s="482"/>
      <c r="H49" s="482"/>
      <c r="I49" s="482"/>
      <c r="J49" s="482"/>
      <c r="K49" s="482"/>
      <c r="L49" s="482"/>
      <c r="M49" s="482"/>
      <c r="N49" s="482"/>
      <c r="O49" s="482"/>
      <c r="P49" s="482"/>
      <c r="Q49" s="482"/>
      <c r="R49" s="482"/>
      <c r="S49" s="482"/>
      <c r="T49" s="482"/>
      <c r="U49" s="482"/>
      <c r="V49" s="482"/>
      <c r="W49" s="482"/>
      <c r="X49" s="482"/>
      <c r="Y49" s="482"/>
      <c r="Z49" s="482"/>
      <c r="AA49" s="482"/>
      <c r="AB49" s="482"/>
      <c r="AC49" s="482"/>
      <c r="AD49" s="482"/>
      <c r="AE49" s="142">
        <v>0.121</v>
      </c>
      <c r="AF49" s="234">
        <f>ROUND(AE49*AF$42,2)</f>
        <v>358.01</v>
      </c>
    </row>
    <row r="50" spans="2:37" ht="17.25" customHeight="1" thickBot="1">
      <c r="B50" s="483" t="s">
        <v>81</v>
      </c>
      <c r="C50" s="484"/>
      <c r="D50" s="484"/>
      <c r="E50" s="484"/>
      <c r="F50" s="484"/>
      <c r="G50" s="484"/>
      <c r="H50" s="484"/>
      <c r="I50" s="484"/>
      <c r="J50" s="484"/>
      <c r="K50" s="484"/>
      <c r="L50" s="484"/>
      <c r="M50" s="484"/>
      <c r="N50" s="484"/>
      <c r="O50" s="484"/>
      <c r="P50" s="484"/>
      <c r="Q50" s="484"/>
      <c r="R50" s="484"/>
      <c r="S50" s="484"/>
      <c r="T50" s="484"/>
      <c r="U50" s="484"/>
      <c r="V50" s="484"/>
      <c r="W50" s="484"/>
      <c r="X50" s="484"/>
      <c r="Y50" s="484"/>
      <c r="Z50" s="484"/>
      <c r="AA50" s="484"/>
      <c r="AB50" s="484"/>
      <c r="AC50" s="484"/>
      <c r="AD50" s="484"/>
      <c r="AE50" s="250">
        <f>SUM(AE48:AE49)</f>
        <v>0.20433333333333331</v>
      </c>
      <c r="AF50" s="245">
        <f>SUM(AF48:AF49)</f>
        <v>604.57999999999993</v>
      </c>
    </row>
    <row r="51" spans="2:37" ht="15" customHeight="1" thickBot="1"/>
    <row r="52" spans="2:37" ht="26.25" thickBot="1">
      <c r="B52" s="227" t="s">
        <v>216</v>
      </c>
      <c r="C52" s="228"/>
      <c r="D52" s="228"/>
      <c r="E52" s="228"/>
      <c r="F52" s="228"/>
      <c r="G52" s="228"/>
      <c r="H52" s="228"/>
      <c r="I52" s="228"/>
      <c r="J52" s="228"/>
      <c r="K52" s="228"/>
      <c r="L52" s="228"/>
      <c r="M52" s="228"/>
      <c r="N52" s="228"/>
      <c r="O52" s="228"/>
      <c r="P52" s="228"/>
      <c r="Q52" s="228"/>
      <c r="R52" s="228"/>
      <c r="S52" s="228"/>
      <c r="T52" s="228"/>
      <c r="U52" s="228"/>
      <c r="V52" s="228"/>
      <c r="W52" s="228"/>
      <c r="X52" s="228"/>
      <c r="Y52" s="228"/>
      <c r="Z52" s="228"/>
      <c r="AA52" s="228"/>
      <c r="AB52" s="228"/>
      <c r="AC52" s="228"/>
      <c r="AD52" s="228"/>
      <c r="AE52" s="237" t="s">
        <v>217</v>
      </c>
      <c r="AF52" s="105">
        <f>AF42+AF50</f>
        <v>3563.38</v>
      </c>
    </row>
    <row r="53" spans="2:37" ht="17.25" customHeight="1">
      <c r="B53" s="476" t="s">
        <v>218</v>
      </c>
      <c r="C53" s="477"/>
      <c r="D53" s="477"/>
      <c r="E53" s="478" t="s">
        <v>219</v>
      </c>
      <c r="F53" s="478"/>
      <c r="G53" s="478"/>
      <c r="H53" s="478"/>
      <c r="I53" s="478"/>
      <c r="J53" s="478"/>
      <c r="K53" s="478"/>
      <c r="L53" s="478"/>
      <c r="M53" s="478"/>
      <c r="N53" s="478"/>
      <c r="O53" s="478"/>
      <c r="P53" s="478"/>
      <c r="Q53" s="478"/>
      <c r="R53" s="478"/>
      <c r="S53" s="478"/>
      <c r="T53" s="478"/>
      <c r="U53" s="478"/>
      <c r="V53" s="478"/>
      <c r="W53" s="478"/>
      <c r="X53" s="478"/>
      <c r="Y53" s="478"/>
      <c r="Z53" s="478"/>
      <c r="AA53" s="478"/>
      <c r="AB53" s="478"/>
      <c r="AC53" s="478"/>
      <c r="AD53" s="478"/>
      <c r="AE53" s="83" t="s">
        <v>31</v>
      </c>
      <c r="AF53" s="249" t="s">
        <v>24</v>
      </c>
    </row>
    <row r="54" spans="2:37" ht="17.25" customHeight="1">
      <c r="B54" s="479" t="s">
        <v>7</v>
      </c>
      <c r="C54" s="480"/>
      <c r="D54" s="480"/>
      <c r="E54" s="485" t="s">
        <v>67</v>
      </c>
      <c r="F54" s="485"/>
      <c r="G54" s="486" t="s">
        <v>220</v>
      </c>
      <c r="H54" s="486"/>
      <c r="I54" s="486"/>
      <c r="J54" s="486"/>
      <c r="K54" s="486"/>
      <c r="L54" s="486"/>
      <c r="M54" s="486"/>
      <c r="N54" s="486"/>
      <c r="O54" s="486"/>
      <c r="P54" s="486"/>
      <c r="Q54" s="486"/>
      <c r="R54" s="486"/>
      <c r="S54" s="486"/>
      <c r="T54" s="486"/>
      <c r="U54" s="486"/>
      <c r="V54" s="486"/>
      <c r="W54" s="486"/>
      <c r="X54" s="486"/>
      <c r="Y54" s="486"/>
      <c r="Z54" s="486"/>
      <c r="AA54" s="486"/>
      <c r="AB54" s="486"/>
      <c r="AC54" s="486"/>
      <c r="AD54" s="127"/>
      <c r="AE54" s="131">
        <f>IF(AD54="",0.2,0)</f>
        <v>0.2</v>
      </c>
      <c r="AF54" s="234">
        <f>ROUND(AE54*AF$52,2)</f>
        <v>712.68</v>
      </c>
      <c r="AG54" s="429" t="s">
        <v>372</v>
      </c>
      <c r="AH54" s="430"/>
      <c r="AI54" s="430"/>
      <c r="AJ54" s="430"/>
      <c r="AK54" s="430"/>
    </row>
    <row r="55" spans="2:37" ht="17.25" customHeight="1">
      <c r="B55" s="479" t="s">
        <v>9</v>
      </c>
      <c r="C55" s="480"/>
      <c r="D55" s="480"/>
      <c r="E55" s="481" t="s">
        <v>71</v>
      </c>
      <c r="F55" s="481"/>
      <c r="G55" s="481"/>
      <c r="H55" s="481"/>
      <c r="I55" s="481"/>
      <c r="J55" s="481"/>
      <c r="K55" s="481"/>
      <c r="L55" s="481"/>
      <c r="M55" s="481"/>
      <c r="N55" s="481"/>
      <c r="O55" s="481"/>
      <c r="P55" s="481"/>
      <c r="Q55" s="481"/>
      <c r="R55" s="481"/>
      <c r="S55" s="481"/>
      <c r="T55" s="481"/>
      <c r="U55" s="481"/>
      <c r="V55" s="481"/>
      <c r="W55" s="481"/>
      <c r="X55" s="481"/>
      <c r="Y55" s="481"/>
      <c r="Z55" s="481"/>
      <c r="AA55" s="481"/>
      <c r="AB55" s="481"/>
      <c r="AC55" s="481"/>
      <c r="AD55" s="481"/>
      <c r="AE55" s="131">
        <v>2.5000000000000001E-2</v>
      </c>
      <c r="AF55" s="234">
        <f t="shared" ref="AF55:AF62" si="0">ROUND(AE55*AF$52,2)</f>
        <v>89.08</v>
      </c>
      <c r="AG55" s="431"/>
      <c r="AH55" s="430"/>
      <c r="AI55" s="430"/>
      <c r="AJ55" s="430"/>
      <c r="AK55" s="430"/>
    </row>
    <row r="56" spans="2:37" ht="17.25" customHeight="1">
      <c r="B56" s="479" t="s">
        <v>11</v>
      </c>
      <c r="C56" s="480"/>
      <c r="D56" s="480"/>
      <c r="E56" s="487" t="s">
        <v>221</v>
      </c>
      <c r="F56" s="487"/>
      <c r="G56" s="487"/>
      <c r="H56" s="487"/>
      <c r="I56" s="487"/>
      <c r="J56" s="487"/>
      <c r="K56" s="487"/>
      <c r="L56" s="487"/>
      <c r="M56" s="487"/>
      <c r="N56" s="487"/>
      <c r="O56" s="487"/>
      <c r="P56" s="487"/>
      <c r="Q56" s="487"/>
      <c r="R56" s="487"/>
      <c r="S56" s="487"/>
      <c r="T56" s="487"/>
      <c r="U56" s="487"/>
      <c r="V56" s="487"/>
      <c r="W56" s="487"/>
      <c r="X56" s="487"/>
      <c r="Y56" s="487"/>
      <c r="Z56" s="487"/>
      <c r="AA56" s="487"/>
      <c r="AB56" s="487"/>
      <c r="AC56" s="487"/>
      <c r="AD56" s="487"/>
      <c r="AE56" s="131">
        <v>0.03</v>
      </c>
      <c r="AF56" s="234">
        <f t="shared" si="0"/>
        <v>106.9</v>
      </c>
      <c r="AG56" s="431"/>
      <c r="AH56" s="430"/>
      <c r="AI56" s="430"/>
      <c r="AJ56" s="430"/>
      <c r="AK56" s="430"/>
    </row>
    <row r="57" spans="2:37" ht="17.25" customHeight="1">
      <c r="B57" s="479" t="s">
        <v>13</v>
      </c>
      <c r="C57" s="480"/>
      <c r="D57" s="480"/>
      <c r="E57" s="481" t="s">
        <v>222</v>
      </c>
      <c r="F57" s="481"/>
      <c r="G57" s="481"/>
      <c r="H57" s="481"/>
      <c r="I57" s="481"/>
      <c r="J57" s="481"/>
      <c r="K57" s="481"/>
      <c r="L57" s="481"/>
      <c r="M57" s="481"/>
      <c r="N57" s="481"/>
      <c r="O57" s="481"/>
      <c r="P57" s="481"/>
      <c r="Q57" s="481"/>
      <c r="R57" s="481"/>
      <c r="S57" s="481"/>
      <c r="T57" s="481"/>
      <c r="U57" s="481"/>
      <c r="V57" s="481"/>
      <c r="W57" s="481"/>
      <c r="X57" s="481"/>
      <c r="Y57" s="481"/>
      <c r="Z57" s="481"/>
      <c r="AA57" s="481"/>
      <c r="AB57" s="481"/>
      <c r="AC57" s="481"/>
      <c r="AD57" s="481"/>
      <c r="AE57" s="131">
        <v>1.4999999999999999E-2</v>
      </c>
      <c r="AF57" s="234">
        <f t="shared" si="0"/>
        <v>53.45</v>
      </c>
      <c r="AG57" s="431"/>
      <c r="AH57" s="430"/>
      <c r="AI57" s="430"/>
      <c r="AJ57" s="430"/>
      <c r="AK57" s="430"/>
    </row>
    <row r="58" spans="2:37" ht="17.25" customHeight="1">
      <c r="B58" s="479" t="s">
        <v>37</v>
      </c>
      <c r="C58" s="480"/>
      <c r="D58" s="480"/>
      <c r="E58" s="481" t="s">
        <v>223</v>
      </c>
      <c r="F58" s="481"/>
      <c r="G58" s="481"/>
      <c r="H58" s="481"/>
      <c r="I58" s="481"/>
      <c r="J58" s="481"/>
      <c r="K58" s="481"/>
      <c r="L58" s="481"/>
      <c r="M58" s="481"/>
      <c r="N58" s="481"/>
      <c r="O58" s="481"/>
      <c r="P58" s="481"/>
      <c r="Q58" s="481"/>
      <c r="R58" s="481"/>
      <c r="S58" s="481"/>
      <c r="T58" s="481"/>
      <c r="U58" s="481"/>
      <c r="V58" s="481"/>
      <c r="W58" s="481"/>
      <c r="X58" s="481"/>
      <c r="Y58" s="481"/>
      <c r="Z58" s="481"/>
      <c r="AA58" s="481"/>
      <c r="AB58" s="481"/>
      <c r="AC58" s="481"/>
      <c r="AD58" s="481"/>
      <c r="AE58" s="131">
        <v>0.01</v>
      </c>
      <c r="AF58" s="234">
        <f t="shared" si="0"/>
        <v>35.630000000000003</v>
      </c>
      <c r="AG58" s="431"/>
      <c r="AH58" s="430"/>
      <c r="AI58" s="430"/>
      <c r="AJ58" s="430"/>
      <c r="AK58" s="430"/>
    </row>
    <row r="59" spans="2:37" ht="17.25" customHeight="1">
      <c r="B59" s="479" t="s">
        <v>39</v>
      </c>
      <c r="C59" s="480"/>
      <c r="D59" s="480"/>
      <c r="E59" s="481" t="s">
        <v>74</v>
      </c>
      <c r="F59" s="481"/>
      <c r="G59" s="481"/>
      <c r="H59" s="481"/>
      <c r="I59" s="481"/>
      <c r="J59" s="481"/>
      <c r="K59" s="481"/>
      <c r="L59" s="481"/>
      <c r="M59" s="481"/>
      <c r="N59" s="481"/>
      <c r="O59" s="481"/>
      <c r="P59" s="481"/>
      <c r="Q59" s="481"/>
      <c r="R59" s="481"/>
      <c r="S59" s="481"/>
      <c r="T59" s="481"/>
      <c r="U59" s="481"/>
      <c r="V59" s="481"/>
      <c r="W59" s="481"/>
      <c r="X59" s="481"/>
      <c r="Y59" s="481"/>
      <c r="Z59" s="481"/>
      <c r="AA59" s="481"/>
      <c r="AB59" s="481"/>
      <c r="AC59" s="481"/>
      <c r="AD59" s="481"/>
      <c r="AE59" s="131">
        <v>6.0000000000000001E-3</v>
      </c>
      <c r="AF59" s="234">
        <f t="shared" si="0"/>
        <v>21.38</v>
      </c>
      <c r="AG59" s="431"/>
      <c r="AH59" s="430"/>
      <c r="AI59" s="430"/>
      <c r="AJ59" s="430"/>
      <c r="AK59" s="430"/>
    </row>
    <row r="60" spans="2:37" ht="17.25" customHeight="1">
      <c r="B60" s="479" t="s">
        <v>41</v>
      </c>
      <c r="C60" s="480"/>
      <c r="D60" s="480"/>
      <c r="E60" s="481" t="s">
        <v>70</v>
      </c>
      <c r="F60" s="481"/>
      <c r="G60" s="481"/>
      <c r="H60" s="481"/>
      <c r="I60" s="481"/>
      <c r="J60" s="481"/>
      <c r="K60" s="481"/>
      <c r="L60" s="481"/>
      <c r="M60" s="481"/>
      <c r="N60" s="481"/>
      <c r="O60" s="481"/>
      <c r="P60" s="481"/>
      <c r="Q60" s="481"/>
      <c r="R60" s="481"/>
      <c r="S60" s="481"/>
      <c r="T60" s="481"/>
      <c r="U60" s="481"/>
      <c r="V60" s="481"/>
      <c r="W60" s="481"/>
      <c r="X60" s="481"/>
      <c r="Y60" s="481"/>
      <c r="Z60" s="481"/>
      <c r="AA60" s="481"/>
      <c r="AB60" s="481"/>
      <c r="AC60" s="481"/>
      <c r="AD60" s="481"/>
      <c r="AE60" s="131">
        <v>2E-3</v>
      </c>
      <c r="AF60" s="234">
        <f t="shared" si="0"/>
        <v>7.13</v>
      </c>
      <c r="AG60" s="431"/>
      <c r="AH60" s="430"/>
      <c r="AI60" s="430"/>
      <c r="AJ60" s="430"/>
      <c r="AK60" s="430"/>
    </row>
    <row r="61" spans="2:37" ht="17.25" customHeight="1">
      <c r="B61" s="479" t="s">
        <v>43</v>
      </c>
      <c r="C61" s="480"/>
      <c r="D61" s="480"/>
      <c r="E61" s="481" t="s">
        <v>72</v>
      </c>
      <c r="F61" s="481"/>
      <c r="G61" s="481"/>
      <c r="H61" s="481"/>
      <c r="I61" s="481"/>
      <c r="J61" s="481"/>
      <c r="K61" s="481"/>
      <c r="L61" s="481"/>
      <c r="M61" s="481"/>
      <c r="N61" s="481"/>
      <c r="O61" s="481"/>
      <c r="P61" s="481"/>
      <c r="Q61" s="481"/>
      <c r="R61" s="481"/>
      <c r="S61" s="481"/>
      <c r="T61" s="481"/>
      <c r="U61" s="481"/>
      <c r="V61" s="481"/>
      <c r="W61" s="481"/>
      <c r="X61" s="481"/>
      <c r="Y61" s="481"/>
      <c r="Z61" s="481"/>
      <c r="AA61" s="481"/>
      <c r="AB61" s="481"/>
      <c r="AC61" s="481"/>
      <c r="AD61" s="481"/>
      <c r="AE61" s="131">
        <v>0.08</v>
      </c>
      <c r="AF61" s="234">
        <f t="shared" si="0"/>
        <v>285.07</v>
      </c>
      <c r="AG61" s="431"/>
      <c r="AH61" s="430"/>
      <c r="AI61" s="430"/>
      <c r="AJ61" s="430"/>
      <c r="AK61" s="430"/>
    </row>
    <row r="62" spans="2:37" ht="17.25" customHeight="1">
      <c r="B62" s="479" t="s">
        <v>324</v>
      </c>
      <c r="C62" s="480"/>
      <c r="D62" s="480"/>
      <c r="E62" s="358" t="s">
        <v>209</v>
      </c>
      <c r="F62" s="359"/>
      <c r="G62" s="359"/>
      <c r="H62" s="359"/>
      <c r="I62" s="359"/>
      <c r="J62" s="359"/>
      <c r="K62" s="359"/>
      <c r="L62" s="490"/>
      <c r="M62" s="490"/>
      <c r="N62" s="490"/>
      <c r="O62" s="490"/>
      <c r="P62" s="490"/>
      <c r="Q62" s="490"/>
      <c r="R62" s="490"/>
      <c r="S62" s="490"/>
      <c r="T62" s="490"/>
      <c r="U62" s="490"/>
      <c r="V62" s="490"/>
      <c r="W62" s="490"/>
      <c r="X62" s="490"/>
      <c r="Y62" s="490"/>
      <c r="Z62" s="490"/>
      <c r="AA62" s="490"/>
      <c r="AB62" s="490"/>
      <c r="AC62" s="490"/>
      <c r="AD62" s="469"/>
      <c r="AE62" s="131"/>
      <c r="AF62" s="234">
        <f t="shared" si="0"/>
        <v>0</v>
      </c>
      <c r="AG62" s="431"/>
      <c r="AH62" s="430"/>
      <c r="AI62" s="430"/>
      <c r="AJ62" s="430"/>
      <c r="AK62" s="430"/>
    </row>
    <row r="63" spans="2:37" ht="17.25" customHeight="1" thickBot="1">
      <c r="B63" s="488" t="s">
        <v>75</v>
      </c>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250">
        <f>SUM(AE54:AE62)</f>
        <v>0.36800000000000005</v>
      </c>
      <c r="AF63" s="251">
        <f>SUM(AF54:AF62)</f>
        <v>1311.32</v>
      </c>
    </row>
    <row r="64" spans="2:37" ht="15" customHeight="1" thickBot="1"/>
    <row r="65" spans="1:57" ht="18" customHeight="1">
      <c r="B65" s="227" t="s">
        <v>224</v>
      </c>
      <c r="C65" s="228"/>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470" t="s">
        <v>203</v>
      </c>
      <c r="AF65" s="471"/>
    </row>
    <row r="66" spans="1:57" ht="18" customHeight="1">
      <c r="B66" s="476" t="s">
        <v>225</v>
      </c>
      <c r="C66" s="477"/>
      <c r="D66" s="477"/>
      <c r="E66" s="478" t="s">
        <v>47</v>
      </c>
      <c r="F66" s="478"/>
      <c r="G66" s="478"/>
      <c r="H66" s="478"/>
      <c r="I66" s="478"/>
      <c r="J66" s="478"/>
      <c r="K66" s="478"/>
      <c r="L66" s="478"/>
      <c r="M66" s="478"/>
      <c r="N66" s="478"/>
      <c r="O66" s="478"/>
      <c r="P66" s="478"/>
      <c r="Q66" s="478"/>
      <c r="R66" s="478"/>
      <c r="S66" s="478"/>
      <c r="T66" s="478"/>
      <c r="U66" s="478"/>
      <c r="V66" s="478"/>
      <c r="W66" s="478"/>
      <c r="X66" s="478"/>
      <c r="Y66" s="478"/>
      <c r="Z66" s="478"/>
      <c r="AA66" s="478"/>
      <c r="AB66" s="478"/>
      <c r="AC66" s="478"/>
      <c r="AD66" s="478"/>
      <c r="AE66" s="82" t="s">
        <v>33</v>
      </c>
      <c r="AF66" s="229" t="s">
        <v>24</v>
      </c>
    </row>
    <row r="67" spans="1:57" ht="18" customHeight="1">
      <c r="B67" s="468" t="s">
        <v>7</v>
      </c>
      <c r="C67" s="284"/>
      <c r="D67" s="284"/>
      <c r="E67" s="358" t="s">
        <v>326</v>
      </c>
      <c r="F67" s="358"/>
      <c r="G67" s="358"/>
      <c r="H67" s="358"/>
      <c r="I67" s="358"/>
      <c r="J67" s="358"/>
      <c r="K67" s="358"/>
      <c r="L67" s="358"/>
      <c r="M67" s="358"/>
      <c r="N67" s="358"/>
      <c r="O67" s="358"/>
      <c r="P67" s="358"/>
      <c r="Q67" s="358"/>
      <c r="R67" s="358"/>
      <c r="S67" s="358"/>
      <c r="T67" s="358"/>
      <c r="U67" s="358"/>
      <c r="V67" s="358"/>
      <c r="W67" s="358"/>
      <c r="X67" s="358"/>
      <c r="Y67" s="358"/>
      <c r="Z67" s="358"/>
      <c r="AA67" s="358"/>
      <c r="AB67" s="358"/>
      <c r="AC67" s="358"/>
      <c r="AD67" s="61" t="s">
        <v>226</v>
      </c>
      <c r="AE67" s="129"/>
      <c r="AF67" s="491">
        <f>ROUND(IF((IF(AE67="",0,(((AE67*AE68)-(0.06*AF36)))))&lt;0,0,IF(AE67="",0,(((AE67*AE68)-(0.06*AF36))))),2)</f>
        <v>0</v>
      </c>
      <c r="AG67" s="428" t="s">
        <v>373</v>
      </c>
      <c r="AH67" s="428"/>
      <c r="AI67" s="428"/>
      <c r="AJ67" s="428"/>
      <c r="AK67" s="139"/>
      <c r="AL67" s="139"/>
      <c r="AM67" s="139"/>
      <c r="AN67" s="139"/>
      <c r="AO67" s="139"/>
      <c r="AP67" s="139"/>
      <c r="AQ67" s="139"/>
      <c r="AR67" s="139"/>
      <c r="AS67" s="139"/>
      <c r="AT67" s="139"/>
      <c r="AU67" s="139"/>
      <c r="AV67" s="139"/>
      <c r="AW67" s="139"/>
      <c r="AX67" s="139"/>
      <c r="AY67" s="139"/>
      <c r="AZ67" s="139"/>
      <c r="BA67" s="139"/>
      <c r="BB67" s="139"/>
      <c r="BC67" s="139"/>
      <c r="BD67" s="139"/>
      <c r="BE67" s="139"/>
    </row>
    <row r="68" spans="1:57" ht="18" customHeight="1">
      <c r="B68" s="468"/>
      <c r="C68" s="284"/>
      <c r="D68" s="284"/>
      <c r="E68" s="358"/>
      <c r="F68" s="358"/>
      <c r="G68" s="358"/>
      <c r="H68" s="358"/>
      <c r="I68" s="358"/>
      <c r="J68" s="358"/>
      <c r="K68" s="358"/>
      <c r="L68" s="358"/>
      <c r="M68" s="358"/>
      <c r="N68" s="358"/>
      <c r="O68" s="358"/>
      <c r="P68" s="358"/>
      <c r="Q68" s="358"/>
      <c r="R68" s="358"/>
      <c r="S68" s="358"/>
      <c r="T68" s="358"/>
      <c r="U68" s="358"/>
      <c r="V68" s="358"/>
      <c r="W68" s="358"/>
      <c r="X68" s="358"/>
      <c r="Y68" s="358"/>
      <c r="Z68" s="358"/>
      <c r="AA68" s="358"/>
      <c r="AB68" s="358"/>
      <c r="AC68" s="358"/>
      <c r="AD68" s="61" t="s">
        <v>227</v>
      </c>
      <c r="AE68" s="130"/>
      <c r="AF68" s="491"/>
      <c r="AG68" s="428"/>
      <c r="AH68" s="428"/>
      <c r="AI68" s="428"/>
      <c r="AJ68" s="428"/>
      <c r="AK68" s="139"/>
      <c r="AL68" s="139"/>
      <c r="AM68" s="139"/>
      <c r="AN68" s="139"/>
      <c r="AO68" s="139"/>
      <c r="AP68" s="139"/>
      <c r="AQ68" s="139"/>
      <c r="AR68" s="139"/>
      <c r="AS68" s="139"/>
      <c r="AT68" s="139"/>
      <c r="AU68" s="139"/>
      <c r="AV68" s="139"/>
      <c r="AW68" s="139"/>
      <c r="AX68" s="139"/>
      <c r="AY68" s="139"/>
      <c r="AZ68" s="139"/>
      <c r="BA68" s="139"/>
      <c r="BB68" s="139"/>
      <c r="BC68" s="139"/>
      <c r="BD68" s="139"/>
      <c r="BE68" s="139"/>
    </row>
    <row r="69" spans="1:57" ht="18" customHeight="1">
      <c r="B69" s="468" t="s">
        <v>9</v>
      </c>
      <c r="C69" s="284"/>
      <c r="D69" s="284"/>
      <c r="E69" s="358" t="s">
        <v>228</v>
      </c>
      <c r="F69" s="358"/>
      <c r="G69" s="358"/>
      <c r="H69" s="358"/>
      <c r="I69" s="358"/>
      <c r="J69" s="358"/>
      <c r="K69" s="358"/>
      <c r="L69" s="358"/>
      <c r="M69" s="358"/>
      <c r="N69" s="358"/>
      <c r="O69" s="358"/>
      <c r="P69" s="358"/>
      <c r="Q69" s="358"/>
      <c r="R69" s="358"/>
      <c r="S69" s="358"/>
      <c r="T69" s="358"/>
      <c r="U69" s="358"/>
      <c r="V69" s="358"/>
      <c r="W69" s="358"/>
      <c r="X69" s="358"/>
      <c r="Y69" s="358"/>
      <c r="Z69" s="358"/>
      <c r="AA69" s="358"/>
      <c r="AB69" s="358"/>
      <c r="AC69" s="358"/>
      <c r="AD69" s="61" t="s">
        <v>229</v>
      </c>
      <c r="AE69" s="130">
        <f>15*52.09</f>
        <v>781.35</v>
      </c>
      <c r="AF69" s="491">
        <f>ROUND(AE69-(AE69*AE70),2)</f>
        <v>625.08000000000004</v>
      </c>
      <c r="AG69" s="428"/>
      <c r="AH69" s="428"/>
      <c r="AI69" s="428"/>
      <c r="AJ69" s="428"/>
    </row>
    <row r="70" spans="1:57" ht="18" customHeight="1">
      <c r="B70" s="468"/>
      <c r="C70" s="284"/>
      <c r="D70" s="284"/>
      <c r="E70" s="358"/>
      <c r="F70" s="358"/>
      <c r="G70" s="358"/>
      <c r="H70" s="358"/>
      <c r="I70" s="358"/>
      <c r="J70" s="358"/>
      <c r="K70" s="358"/>
      <c r="L70" s="358"/>
      <c r="M70" s="358"/>
      <c r="N70" s="358"/>
      <c r="O70" s="358"/>
      <c r="P70" s="358"/>
      <c r="Q70" s="358"/>
      <c r="R70" s="358"/>
      <c r="S70" s="358"/>
      <c r="T70" s="358"/>
      <c r="U70" s="358"/>
      <c r="V70" s="358"/>
      <c r="W70" s="358"/>
      <c r="X70" s="358"/>
      <c r="Y70" s="358"/>
      <c r="Z70" s="358"/>
      <c r="AA70" s="358"/>
      <c r="AB70" s="358"/>
      <c r="AC70" s="358"/>
      <c r="AD70" s="61" t="s">
        <v>230</v>
      </c>
      <c r="AE70" s="131">
        <v>0.2</v>
      </c>
      <c r="AF70" s="491"/>
      <c r="AG70" s="428"/>
      <c r="AH70" s="428"/>
      <c r="AI70" s="428"/>
      <c r="AJ70" s="428"/>
    </row>
    <row r="71" spans="1:57" ht="18" customHeight="1">
      <c r="B71" s="468" t="s">
        <v>11</v>
      </c>
      <c r="C71" s="284"/>
      <c r="D71" s="284"/>
      <c r="E71" s="300" t="s">
        <v>231</v>
      </c>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141">
        <v>0.41920000000000002</v>
      </c>
      <c r="AF71" s="226">
        <v>90</v>
      </c>
      <c r="AG71" s="428"/>
      <c r="AH71" s="428"/>
      <c r="AI71" s="428"/>
      <c r="AJ71" s="428"/>
    </row>
    <row r="72" spans="1:57" ht="18" customHeight="1">
      <c r="B72" s="468" t="s">
        <v>13</v>
      </c>
      <c r="C72" s="284"/>
      <c r="D72" s="284"/>
      <c r="E72" s="300" t="s">
        <v>232</v>
      </c>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300"/>
      <c r="AE72" s="127" t="s">
        <v>198</v>
      </c>
      <c r="AF72" s="234">
        <f>IF(OR(AE21="",AE72=""),0,ROUND((AF42/220*1.5)*(7*4.345)/2,2))</f>
        <v>306.79000000000002</v>
      </c>
      <c r="AG72" s="428"/>
      <c r="AH72" s="428"/>
      <c r="AI72" s="428"/>
      <c r="AJ72" s="428"/>
      <c r="AK72" s="62"/>
    </row>
    <row r="73" spans="1:57" ht="18" customHeight="1">
      <c r="B73" s="468" t="s">
        <v>37</v>
      </c>
      <c r="C73" s="284"/>
      <c r="D73" s="284"/>
      <c r="E73" s="300" t="s">
        <v>52</v>
      </c>
      <c r="F73" s="300"/>
      <c r="G73" s="300"/>
      <c r="H73" s="300"/>
      <c r="I73" s="300"/>
      <c r="J73" s="300"/>
      <c r="K73" s="300"/>
      <c r="L73" s="300"/>
      <c r="M73" s="300"/>
      <c r="N73" s="300"/>
      <c r="O73" s="300"/>
      <c r="P73" s="300"/>
      <c r="Q73" s="300"/>
      <c r="R73" s="300"/>
      <c r="S73" s="300"/>
      <c r="T73" s="300"/>
      <c r="U73" s="300"/>
      <c r="V73" s="300"/>
      <c r="W73" s="300"/>
      <c r="X73" s="300"/>
      <c r="Y73" s="300"/>
      <c r="Z73" s="300"/>
      <c r="AA73" s="300"/>
      <c r="AB73" s="300"/>
      <c r="AC73" s="300"/>
      <c r="AD73" s="300"/>
      <c r="AE73" s="140"/>
      <c r="AF73" s="226">
        <v>0</v>
      </c>
      <c r="AG73" s="428"/>
      <c r="AH73" s="428"/>
      <c r="AI73" s="428"/>
      <c r="AJ73" s="428"/>
    </row>
    <row r="74" spans="1:57" ht="18" customHeight="1">
      <c r="B74" s="468" t="s">
        <v>43</v>
      </c>
      <c r="C74" s="284"/>
      <c r="D74" s="284"/>
      <c r="E74" s="358" t="s">
        <v>233</v>
      </c>
      <c r="F74" s="358"/>
      <c r="G74" s="358"/>
      <c r="H74" s="492" t="s">
        <v>327</v>
      </c>
      <c r="I74" s="492"/>
      <c r="J74" s="492"/>
      <c r="K74" s="492"/>
      <c r="L74" s="492"/>
      <c r="M74" s="492"/>
      <c r="N74" s="492"/>
      <c r="O74" s="492"/>
      <c r="P74" s="492"/>
      <c r="Q74" s="492"/>
      <c r="R74" s="492"/>
      <c r="S74" s="492"/>
      <c r="T74" s="492"/>
      <c r="U74" s="492"/>
      <c r="V74" s="492"/>
      <c r="W74" s="492"/>
      <c r="X74" s="492"/>
      <c r="Y74" s="492"/>
      <c r="Z74" s="492"/>
      <c r="AA74" s="492"/>
      <c r="AB74" s="492"/>
      <c r="AC74" s="492"/>
      <c r="AD74" s="492"/>
      <c r="AE74" s="140"/>
      <c r="AF74" s="226">
        <v>0</v>
      </c>
      <c r="AG74" s="428"/>
      <c r="AH74" s="428"/>
      <c r="AI74" s="428"/>
      <c r="AJ74" s="428"/>
    </row>
    <row r="75" spans="1:57" ht="18" customHeight="1" thickBot="1">
      <c r="A75" s="9"/>
      <c r="B75" s="221" t="s">
        <v>54</v>
      </c>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222"/>
      <c r="AB75" s="222"/>
      <c r="AC75" s="222"/>
      <c r="AD75" s="222"/>
      <c r="AE75" s="244"/>
      <c r="AF75" s="245">
        <f>SUM(AF67:AF73)</f>
        <v>1021.8700000000001</v>
      </c>
    </row>
    <row r="76" spans="1:57" ht="13.5" thickBot="1">
      <c r="AI76" s="10"/>
    </row>
    <row r="77" spans="1:57" ht="15.75" customHeight="1">
      <c r="B77" s="246" t="s">
        <v>234</v>
      </c>
      <c r="C77" s="247"/>
      <c r="D77" s="247"/>
      <c r="E77" s="247"/>
      <c r="F77" s="247"/>
      <c r="G77" s="247"/>
      <c r="H77" s="247"/>
      <c r="I77" s="247"/>
      <c r="J77" s="247"/>
      <c r="K77" s="247"/>
      <c r="L77" s="247"/>
      <c r="M77" s="247"/>
      <c r="N77" s="247"/>
      <c r="O77" s="247"/>
      <c r="P77" s="247"/>
      <c r="Q77" s="247"/>
      <c r="R77" s="247"/>
      <c r="S77" s="247"/>
      <c r="T77" s="247"/>
      <c r="U77" s="247"/>
      <c r="V77" s="247"/>
      <c r="W77" s="247"/>
      <c r="X77" s="247"/>
      <c r="Y77" s="247"/>
      <c r="Z77" s="247"/>
      <c r="AA77" s="247"/>
      <c r="AB77" s="247"/>
      <c r="AC77" s="247"/>
      <c r="AD77" s="247"/>
      <c r="AE77" s="470" t="s">
        <v>203</v>
      </c>
      <c r="AF77" s="471"/>
    </row>
    <row r="78" spans="1:57" ht="15.75" customHeight="1">
      <c r="B78" s="493">
        <v>2</v>
      </c>
      <c r="C78" s="494"/>
      <c r="D78" s="494"/>
      <c r="E78" s="495" t="s">
        <v>235</v>
      </c>
      <c r="F78" s="495"/>
      <c r="G78" s="495"/>
      <c r="H78" s="495"/>
      <c r="I78" s="495"/>
      <c r="J78" s="495"/>
      <c r="K78" s="495"/>
      <c r="L78" s="495"/>
      <c r="M78" s="495"/>
      <c r="N78" s="495"/>
      <c r="O78" s="495"/>
      <c r="P78" s="495"/>
      <c r="Q78" s="495"/>
      <c r="R78" s="495"/>
      <c r="S78" s="495"/>
      <c r="T78" s="495"/>
      <c r="U78" s="495"/>
      <c r="V78" s="495"/>
      <c r="W78" s="495"/>
      <c r="X78" s="495"/>
      <c r="Y78" s="495"/>
      <c r="Z78" s="495"/>
      <c r="AA78" s="495"/>
      <c r="AB78" s="495"/>
      <c r="AC78" s="495"/>
      <c r="AD78" s="495"/>
      <c r="AE78" s="100" t="s">
        <v>31</v>
      </c>
      <c r="AF78" s="248" t="s">
        <v>164</v>
      </c>
    </row>
    <row r="79" spans="1:57" ht="15.75" customHeight="1">
      <c r="B79" s="479" t="s">
        <v>212</v>
      </c>
      <c r="C79" s="480"/>
      <c r="D79" s="480"/>
      <c r="E79" s="481" t="str">
        <f>E47</f>
        <v>13º Salário, Férias e Adicional de Férias</v>
      </c>
      <c r="F79" s="481"/>
      <c r="G79" s="481"/>
      <c r="H79" s="481"/>
      <c r="I79" s="481"/>
      <c r="J79" s="481"/>
      <c r="K79" s="481"/>
      <c r="L79" s="481"/>
      <c r="M79" s="481"/>
      <c r="N79" s="481"/>
      <c r="O79" s="481"/>
      <c r="P79" s="481"/>
      <c r="Q79" s="481"/>
      <c r="R79" s="481"/>
      <c r="S79" s="481"/>
      <c r="T79" s="481"/>
      <c r="U79" s="481"/>
      <c r="V79" s="481"/>
      <c r="W79" s="481"/>
      <c r="X79" s="481"/>
      <c r="Y79" s="481"/>
      <c r="Z79" s="481"/>
      <c r="AA79" s="481"/>
      <c r="AB79" s="481"/>
      <c r="AC79" s="481"/>
      <c r="AD79" s="481"/>
      <c r="AE79" s="84">
        <f t="shared" ref="AE79:AE80" si="1">IF(AF$42=0,"",AF79/AF$42)</f>
        <v>0.20433283763687979</v>
      </c>
      <c r="AF79" s="234">
        <f>AF50</f>
        <v>604.57999999999993</v>
      </c>
    </row>
    <row r="80" spans="1:57" ht="15.75" customHeight="1">
      <c r="B80" s="479" t="s">
        <v>218</v>
      </c>
      <c r="C80" s="480"/>
      <c r="D80" s="480"/>
      <c r="E80" s="481" t="str">
        <f>E53</f>
        <v>GPS, FGTS e outras contribuições</v>
      </c>
      <c r="F80" s="481"/>
      <c r="G80" s="481"/>
      <c r="H80" s="481"/>
      <c r="I80" s="481"/>
      <c r="J80" s="481"/>
      <c r="K80" s="481"/>
      <c r="L80" s="481"/>
      <c r="M80" s="481"/>
      <c r="N80" s="481"/>
      <c r="O80" s="481"/>
      <c r="P80" s="481"/>
      <c r="Q80" s="481"/>
      <c r="R80" s="481"/>
      <c r="S80" s="481"/>
      <c r="T80" s="481"/>
      <c r="U80" s="481"/>
      <c r="V80" s="481"/>
      <c r="W80" s="481"/>
      <c r="X80" s="481"/>
      <c r="Y80" s="481"/>
      <c r="Z80" s="481"/>
      <c r="AA80" s="481"/>
      <c r="AB80" s="481"/>
      <c r="AC80" s="481"/>
      <c r="AD80" s="481"/>
      <c r="AE80" s="84">
        <f t="shared" si="1"/>
        <v>0.44319318642692979</v>
      </c>
      <c r="AF80" s="234">
        <f>AF63</f>
        <v>1311.32</v>
      </c>
    </row>
    <row r="81" spans="2:37" ht="15.75" customHeight="1">
      <c r="B81" s="479" t="s">
        <v>225</v>
      </c>
      <c r="C81" s="480"/>
      <c r="D81" s="480"/>
      <c r="E81" s="481" t="str">
        <f>E66</f>
        <v>Benefícios Mensais e Diários</v>
      </c>
      <c r="F81" s="481"/>
      <c r="G81" s="481"/>
      <c r="H81" s="481"/>
      <c r="I81" s="481"/>
      <c r="J81" s="481"/>
      <c r="K81" s="481"/>
      <c r="L81" s="481"/>
      <c r="M81" s="481"/>
      <c r="N81" s="481"/>
      <c r="O81" s="481"/>
      <c r="P81" s="481"/>
      <c r="Q81" s="481"/>
      <c r="R81" s="481"/>
      <c r="S81" s="481"/>
      <c r="T81" s="481"/>
      <c r="U81" s="481"/>
      <c r="V81" s="481"/>
      <c r="W81" s="481"/>
      <c r="X81" s="481"/>
      <c r="Y81" s="481"/>
      <c r="Z81" s="481"/>
      <c r="AA81" s="481"/>
      <c r="AB81" s="481"/>
      <c r="AC81" s="481"/>
      <c r="AD81" s="481"/>
      <c r="AE81" s="84">
        <f>IF(AF$42=0,"",AF81/AF$42)</f>
        <v>0.34536636474246318</v>
      </c>
      <c r="AF81" s="234">
        <f>AF75</f>
        <v>1021.8700000000001</v>
      </c>
    </row>
    <row r="82" spans="2:37" ht="15.75" customHeight="1" thickBot="1">
      <c r="B82" s="497" t="s">
        <v>75</v>
      </c>
      <c r="C82" s="498"/>
      <c r="D82" s="498"/>
      <c r="E82" s="498"/>
      <c r="F82" s="498"/>
      <c r="G82" s="498"/>
      <c r="H82" s="498"/>
      <c r="I82" s="498"/>
      <c r="J82" s="498"/>
      <c r="K82" s="498"/>
      <c r="L82" s="498"/>
      <c r="M82" s="498"/>
      <c r="N82" s="498"/>
      <c r="O82" s="498"/>
      <c r="P82" s="498"/>
      <c r="Q82" s="498"/>
      <c r="R82" s="498"/>
      <c r="S82" s="498"/>
      <c r="T82" s="498"/>
      <c r="U82" s="498"/>
      <c r="V82" s="498"/>
      <c r="W82" s="498"/>
      <c r="X82" s="498"/>
      <c r="Y82" s="498"/>
      <c r="Z82" s="498"/>
      <c r="AA82" s="498"/>
      <c r="AB82" s="498"/>
      <c r="AC82" s="498"/>
      <c r="AD82" s="498"/>
      <c r="AE82" s="235">
        <f>IF(AF$42=0,"",AF82/AF$42)</f>
        <v>0.99289238880627273</v>
      </c>
      <c r="AF82" s="236">
        <f>SUM(AF79:AF81)</f>
        <v>2937.77</v>
      </c>
    </row>
    <row r="83" spans="2:37" ht="13.5" thickBot="1"/>
    <row r="84" spans="2:37" ht="24" customHeight="1" thickBot="1">
      <c r="B84" s="518" t="s">
        <v>236</v>
      </c>
      <c r="C84" s="519"/>
      <c r="D84" s="519"/>
      <c r="E84" s="519"/>
      <c r="F84" s="519"/>
      <c r="G84" s="519"/>
      <c r="H84" s="519"/>
      <c r="I84" s="519"/>
      <c r="J84" s="519"/>
      <c r="K84" s="519"/>
      <c r="L84" s="519"/>
      <c r="M84" s="519"/>
      <c r="N84" s="519"/>
      <c r="O84" s="519"/>
      <c r="P84" s="519"/>
      <c r="Q84" s="519"/>
      <c r="R84" s="519"/>
      <c r="S84" s="519"/>
      <c r="T84" s="519"/>
      <c r="U84" s="519"/>
      <c r="V84" s="519"/>
      <c r="W84" s="519"/>
      <c r="X84" s="519"/>
      <c r="Y84" s="519"/>
      <c r="Z84" s="519"/>
      <c r="AA84" s="519"/>
      <c r="AB84" s="519"/>
      <c r="AC84" s="519"/>
      <c r="AD84" s="519"/>
      <c r="AE84" s="519"/>
      <c r="AF84" s="520"/>
    </row>
    <row r="85" spans="2:37" ht="13.5" thickBot="1"/>
    <row r="86" spans="2:37" ht="18.75" customHeight="1">
      <c r="B86" s="472">
        <v>3</v>
      </c>
      <c r="C86" s="473"/>
      <c r="D86" s="473"/>
      <c r="E86" s="240" t="s">
        <v>237</v>
      </c>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2" t="s">
        <v>31</v>
      </c>
      <c r="AF86" s="217" t="s">
        <v>24</v>
      </c>
    </row>
    <row r="87" spans="2:37" ht="20.25" customHeight="1">
      <c r="B87" s="479" t="s">
        <v>7</v>
      </c>
      <c r="C87" s="480"/>
      <c r="D87" s="480"/>
      <c r="E87" s="496" t="s">
        <v>238</v>
      </c>
      <c r="F87" s="496"/>
      <c r="G87" s="496"/>
      <c r="H87" s="496"/>
      <c r="I87" s="496"/>
      <c r="J87" s="496"/>
      <c r="K87" s="496"/>
      <c r="L87" s="496"/>
      <c r="M87" s="496"/>
      <c r="N87" s="496"/>
      <c r="O87" s="496"/>
      <c r="P87" s="496"/>
      <c r="Q87" s="496"/>
      <c r="R87" s="496"/>
      <c r="S87" s="496"/>
      <c r="T87" s="496"/>
      <c r="U87" s="496"/>
      <c r="V87" s="496"/>
      <c r="W87" s="496"/>
      <c r="X87" s="496"/>
      <c r="Y87" s="496"/>
      <c r="Z87" s="496"/>
      <c r="AA87" s="496"/>
      <c r="AB87" s="496"/>
      <c r="AC87" s="496"/>
      <c r="AD87" s="132">
        <v>0.05</v>
      </c>
      <c r="AE87" s="84">
        <f>(1/12*$AD87)</f>
        <v>4.1666666666666666E-3</v>
      </c>
      <c r="AF87" s="230">
        <f>ROUND(AE87*AF42,2)</f>
        <v>12.33</v>
      </c>
    </row>
    <row r="88" spans="2:37" ht="20.25" customHeight="1">
      <c r="B88" s="479" t="s">
        <v>9</v>
      </c>
      <c r="C88" s="480"/>
      <c r="D88" s="480"/>
      <c r="E88" s="487" t="s">
        <v>239</v>
      </c>
      <c r="F88" s="487"/>
      <c r="G88" s="487"/>
      <c r="H88" s="487"/>
      <c r="I88" s="487"/>
      <c r="J88" s="487"/>
      <c r="K88" s="487"/>
      <c r="L88" s="487"/>
      <c r="M88" s="487"/>
      <c r="N88" s="487"/>
      <c r="O88" s="487"/>
      <c r="P88" s="487"/>
      <c r="Q88" s="487"/>
      <c r="R88" s="487"/>
      <c r="S88" s="487"/>
      <c r="T88" s="487"/>
      <c r="U88" s="487"/>
      <c r="V88" s="487"/>
      <c r="W88" s="487"/>
      <c r="X88" s="487"/>
      <c r="Y88" s="487"/>
      <c r="Z88" s="487"/>
      <c r="AA88" s="487"/>
      <c r="AB88" s="487"/>
      <c r="AC88" s="487"/>
      <c r="AD88" s="487"/>
      <c r="AE88" s="84">
        <v>0.08</v>
      </c>
      <c r="AF88" s="230">
        <f>ROUND(AF87*AE88,2)</f>
        <v>0.99</v>
      </c>
      <c r="AI88" s="62"/>
    </row>
    <row r="89" spans="2:37" ht="20.25" customHeight="1">
      <c r="B89" s="479" t="s">
        <v>11</v>
      </c>
      <c r="C89" s="480"/>
      <c r="D89" s="480"/>
      <c r="E89" s="487" t="s">
        <v>240</v>
      </c>
      <c r="F89" s="487"/>
      <c r="G89" s="487"/>
      <c r="H89" s="487"/>
      <c r="I89" s="487"/>
      <c r="J89" s="487"/>
      <c r="K89" s="487"/>
      <c r="L89" s="487"/>
      <c r="M89" s="487"/>
      <c r="N89" s="487"/>
      <c r="O89" s="487"/>
      <c r="P89" s="487"/>
      <c r="Q89" s="487"/>
      <c r="R89" s="487"/>
      <c r="S89" s="487"/>
      <c r="T89" s="487"/>
      <c r="U89" s="487"/>
      <c r="V89" s="487"/>
      <c r="W89" s="487"/>
      <c r="X89" s="487"/>
      <c r="Y89" s="487"/>
      <c r="Z89" s="487"/>
      <c r="AA89" s="487"/>
      <c r="AB89" s="487"/>
      <c r="AC89" s="487"/>
      <c r="AD89" s="487"/>
      <c r="AE89" s="84">
        <f>0.5*AD87*AE88</f>
        <v>2E-3</v>
      </c>
      <c r="AF89" s="243">
        <f>ROUND(AF$42*AE89,2)</f>
        <v>5.92</v>
      </c>
    </row>
    <row r="90" spans="2:37" ht="20.25" customHeight="1">
      <c r="B90" s="479" t="s">
        <v>13</v>
      </c>
      <c r="C90" s="480"/>
      <c r="D90" s="480"/>
      <c r="E90" s="496" t="s">
        <v>241</v>
      </c>
      <c r="F90" s="496"/>
      <c r="G90" s="496"/>
      <c r="H90" s="496"/>
      <c r="I90" s="496"/>
      <c r="J90" s="496"/>
      <c r="K90" s="496"/>
      <c r="L90" s="496"/>
      <c r="M90" s="496"/>
      <c r="N90" s="496"/>
      <c r="O90" s="496"/>
      <c r="P90" s="496"/>
      <c r="Q90" s="496"/>
      <c r="R90" s="496"/>
      <c r="S90" s="496"/>
      <c r="T90" s="496"/>
      <c r="U90" s="496"/>
      <c r="V90" s="496"/>
      <c r="W90" s="496"/>
      <c r="X90" s="496"/>
      <c r="Y90" s="496"/>
      <c r="Z90" s="496"/>
      <c r="AA90" s="496"/>
      <c r="AB90" s="496"/>
      <c r="AC90" s="496"/>
      <c r="AD90" s="133">
        <f>1-AD87</f>
        <v>0.95</v>
      </c>
      <c r="AE90" s="84">
        <f>7/30/12</f>
        <v>1.9444444444444445E-2</v>
      </c>
      <c r="AF90" s="230">
        <f>ROUND(AE90*AF42,2)</f>
        <v>57.53</v>
      </c>
    </row>
    <row r="91" spans="2:37" ht="20.25" customHeight="1">
      <c r="B91" s="479" t="s">
        <v>37</v>
      </c>
      <c r="C91" s="480"/>
      <c r="D91" s="480"/>
      <c r="E91" s="487" t="s">
        <v>242</v>
      </c>
      <c r="F91" s="487"/>
      <c r="G91" s="487"/>
      <c r="H91" s="487"/>
      <c r="I91" s="487"/>
      <c r="J91" s="487"/>
      <c r="K91" s="487"/>
      <c r="L91" s="487"/>
      <c r="M91" s="487"/>
      <c r="N91" s="487"/>
      <c r="O91" s="487"/>
      <c r="P91" s="487"/>
      <c r="Q91" s="487"/>
      <c r="R91" s="487"/>
      <c r="S91" s="487"/>
      <c r="T91" s="487"/>
      <c r="U91" s="487"/>
      <c r="V91" s="487"/>
      <c r="W91" s="487"/>
      <c r="X91" s="487"/>
      <c r="Y91" s="487"/>
      <c r="Z91" s="487"/>
      <c r="AA91" s="487"/>
      <c r="AB91" s="487"/>
      <c r="AC91" s="487"/>
      <c r="AD91" s="487"/>
      <c r="AE91" s="84">
        <f>AE63</f>
        <v>0.36800000000000005</v>
      </c>
      <c r="AF91" s="230">
        <f>ROUND(AF90*AE63,2)</f>
        <v>21.17</v>
      </c>
    </row>
    <row r="92" spans="2:37" ht="20.25" customHeight="1">
      <c r="B92" s="479" t="s">
        <v>39</v>
      </c>
      <c r="C92" s="480"/>
      <c r="D92" s="480"/>
      <c r="E92" s="487" t="s">
        <v>243</v>
      </c>
      <c r="F92" s="487"/>
      <c r="G92" s="487"/>
      <c r="H92" s="487"/>
      <c r="I92" s="487"/>
      <c r="J92" s="487"/>
      <c r="K92" s="487"/>
      <c r="L92" s="487"/>
      <c r="M92" s="487"/>
      <c r="N92" s="487"/>
      <c r="O92" s="487"/>
      <c r="P92" s="487"/>
      <c r="Q92" s="487"/>
      <c r="R92" s="487"/>
      <c r="S92" s="487"/>
      <c r="T92" s="487"/>
      <c r="U92" s="487"/>
      <c r="V92" s="487"/>
      <c r="W92" s="487"/>
      <c r="X92" s="487"/>
      <c r="Y92" s="487"/>
      <c r="Z92" s="487"/>
      <c r="AA92" s="487"/>
      <c r="AB92" s="487"/>
      <c r="AC92" s="487"/>
      <c r="AD92" s="487"/>
      <c r="AE92" s="84">
        <f>0.08*0.5*AD90</f>
        <v>3.7999999999999999E-2</v>
      </c>
      <c r="AF92" s="243">
        <f>ROUND(AE92*AF$42,2)</f>
        <v>112.43</v>
      </c>
      <c r="AK92" s="63"/>
    </row>
    <row r="93" spans="2:37" ht="24" customHeight="1" thickBot="1">
      <c r="B93" s="488" t="s">
        <v>75</v>
      </c>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c r="AE93" s="223">
        <f>IF(AF$42=0,"",AF93/AF$42)</f>
        <v>7.1099770177098814E-2</v>
      </c>
      <c r="AF93" s="239">
        <f>SUM(AF87:AF92)</f>
        <v>210.37</v>
      </c>
      <c r="AG93" s="64"/>
    </row>
    <row r="94" spans="2:37" ht="12.75" customHeight="1" thickBot="1"/>
    <row r="95" spans="2:37" ht="24" customHeight="1" thickBot="1">
      <c r="B95" s="518" t="s">
        <v>244</v>
      </c>
      <c r="C95" s="519"/>
      <c r="D95" s="519"/>
      <c r="E95" s="519"/>
      <c r="F95" s="519"/>
      <c r="G95" s="519"/>
      <c r="H95" s="519"/>
      <c r="I95" s="519"/>
      <c r="J95" s="519"/>
      <c r="K95" s="519"/>
      <c r="L95" s="519"/>
      <c r="M95" s="519"/>
      <c r="N95" s="519"/>
      <c r="O95" s="519"/>
      <c r="P95" s="519"/>
      <c r="Q95" s="519"/>
      <c r="R95" s="519"/>
      <c r="S95" s="519"/>
      <c r="T95" s="519"/>
      <c r="U95" s="519"/>
      <c r="V95" s="519"/>
      <c r="W95" s="519"/>
      <c r="X95" s="519"/>
      <c r="Y95" s="519"/>
      <c r="Z95" s="519"/>
      <c r="AA95" s="519"/>
      <c r="AB95" s="519"/>
      <c r="AC95" s="519"/>
      <c r="AD95" s="519"/>
      <c r="AE95" s="519"/>
      <c r="AF95" s="520"/>
    </row>
    <row r="96" spans="2:37" ht="13.5" thickBot="1"/>
    <row r="97" spans="2:37" ht="29.25" customHeight="1">
      <c r="B97" s="227" t="s">
        <v>245</v>
      </c>
      <c r="C97" s="228"/>
      <c r="D97" s="228"/>
      <c r="E97" s="228"/>
      <c r="F97" s="228"/>
      <c r="G97" s="228"/>
      <c r="H97" s="228"/>
      <c r="I97" s="228"/>
      <c r="J97" s="228"/>
      <c r="K97" s="228"/>
      <c r="L97" s="228"/>
      <c r="M97" s="228"/>
      <c r="N97" s="228"/>
      <c r="O97" s="228"/>
      <c r="P97" s="228"/>
      <c r="Q97" s="228"/>
      <c r="R97" s="228"/>
      <c r="S97" s="228"/>
      <c r="T97" s="228"/>
      <c r="U97" s="228"/>
      <c r="V97" s="228"/>
      <c r="W97" s="228"/>
      <c r="X97" s="228"/>
      <c r="Y97" s="228"/>
      <c r="Z97" s="228"/>
      <c r="AA97" s="228"/>
      <c r="AB97" s="228"/>
      <c r="AC97" s="228"/>
      <c r="AD97" s="228"/>
      <c r="AE97" s="237" t="s">
        <v>246</v>
      </c>
      <c r="AF97" s="238">
        <f>AF42+AF82+AF93</f>
        <v>6106.94</v>
      </c>
    </row>
    <row r="98" spans="2:37" ht="21" customHeight="1">
      <c r="B98" s="476" t="s">
        <v>65</v>
      </c>
      <c r="C98" s="477"/>
      <c r="D98" s="477"/>
      <c r="E98" s="77" t="s">
        <v>247</v>
      </c>
      <c r="F98" s="78"/>
      <c r="G98" s="78"/>
      <c r="H98" s="78"/>
      <c r="I98" s="78"/>
      <c r="J98" s="78"/>
      <c r="K98" s="78"/>
      <c r="L98" s="78"/>
      <c r="M98" s="78"/>
      <c r="N98" s="78"/>
      <c r="O98" s="78"/>
      <c r="P98" s="78"/>
      <c r="Q98" s="78"/>
      <c r="R98" s="78"/>
      <c r="S98" s="78"/>
      <c r="T98" s="78"/>
      <c r="U98" s="78"/>
      <c r="V98" s="78"/>
      <c r="W98" s="78"/>
      <c r="X98" s="78"/>
      <c r="Y98" s="78"/>
      <c r="Z98" s="78"/>
      <c r="AA98" s="78"/>
      <c r="AB98" s="78"/>
      <c r="AC98" s="78"/>
      <c r="AD98" s="100" t="s">
        <v>248</v>
      </c>
      <c r="AE98" s="82" t="s">
        <v>31</v>
      </c>
      <c r="AF98" s="229" t="s">
        <v>24</v>
      </c>
    </row>
    <row r="99" spans="2:37" ht="21" customHeight="1">
      <c r="B99" s="479" t="s">
        <v>7</v>
      </c>
      <c r="C99" s="480"/>
      <c r="D99" s="480"/>
      <c r="E99" s="496" t="s">
        <v>249</v>
      </c>
      <c r="F99" s="496"/>
      <c r="G99" s="496"/>
      <c r="H99" s="496"/>
      <c r="I99" s="496"/>
      <c r="J99" s="496"/>
      <c r="K99" s="496"/>
      <c r="L99" s="496"/>
      <c r="M99" s="496"/>
      <c r="N99" s="496"/>
      <c r="O99" s="496"/>
      <c r="P99" s="496"/>
      <c r="Q99" s="496"/>
      <c r="R99" s="496"/>
      <c r="S99" s="496"/>
      <c r="T99" s="496"/>
      <c r="U99" s="496"/>
      <c r="V99" s="496"/>
      <c r="W99" s="496"/>
      <c r="X99" s="496"/>
      <c r="Y99" s="496"/>
      <c r="Z99" s="496"/>
      <c r="AA99" s="496"/>
      <c r="AB99" s="496"/>
      <c r="AC99" s="496"/>
      <c r="AD99" s="65" t="s">
        <v>33</v>
      </c>
      <c r="AE99" s="84">
        <f>((1+1/3)/12)/12</f>
        <v>9.2592592592592587E-3</v>
      </c>
      <c r="AF99" s="230">
        <f>AE99*AF97</f>
        <v>56.545740740740733</v>
      </c>
      <c r="AI99" s="55"/>
      <c r="AK99" s="62"/>
    </row>
    <row r="100" spans="2:37" ht="21" customHeight="1">
      <c r="B100" s="468" t="s">
        <v>9</v>
      </c>
      <c r="C100" s="284"/>
      <c r="D100" s="284"/>
      <c r="E100" s="496" t="s">
        <v>250</v>
      </c>
      <c r="F100" s="496"/>
      <c r="G100" s="496"/>
      <c r="H100" s="496"/>
      <c r="I100" s="496"/>
      <c r="J100" s="496"/>
      <c r="K100" s="496"/>
      <c r="L100" s="496"/>
      <c r="M100" s="496"/>
      <c r="N100" s="496"/>
      <c r="O100" s="496"/>
      <c r="P100" s="496"/>
      <c r="Q100" s="496"/>
      <c r="R100" s="496"/>
      <c r="S100" s="496"/>
      <c r="T100" s="496"/>
      <c r="U100" s="496"/>
      <c r="V100" s="496"/>
      <c r="W100" s="496"/>
      <c r="X100" s="496"/>
      <c r="Y100" s="496"/>
      <c r="Z100" s="496"/>
      <c r="AA100" s="496"/>
      <c r="AB100" s="496"/>
      <c r="AC100" s="496"/>
      <c r="AD100" s="134">
        <v>2</v>
      </c>
      <c r="AE100" s="180">
        <f>((AD100/30)/12)</f>
        <v>5.5555555555555558E-3</v>
      </c>
      <c r="AF100" s="230">
        <f>ROUND(AE100*AF$97,2)</f>
        <v>33.93</v>
      </c>
    </row>
    <row r="101" spans="2:37" ht="21" customHeight="1">
      <c r="B101" s="468" t="s">
        <v>11</v>
      </c>
      <c r="C101" s="284"/>
      <c r="D101" s="284"/>
      <c r="E101" s="496" t="s">
        <v>251</v>
      </c>
      <c r="F101" s="496"/>
      <c r="G101" s="496"/>
      <c r="H101" s="496"/>
      <c r="I101" s="496"/>
      <c r="J101" s="496"/>
      <c r="K101" s="496"/>
      <c r="L101" s="496"/>
      <c r="M101" s="496"/>
      <c r="N101" s="496"/>
      <c r="O101" s="496"/>
      <c r="P101" s="496"/>
      <c r="Q101" s="496"/>
      <c r="R101" s="496"/>
      <c r="S101" s="496"/>
      <c r="T101" s="496"/>
      <c r="U101" s="496"/>
      <c r="V101" s="496"/>
      <c r="W101" s="496"/>
      <c r="X101" s="496"/>
      <c r="Y101" s="496"/>
      <c r="Z101" s="496"/>
      <c r="AA101" s="496"/>
      <c r="AB101" s="496"/>
      <c r="AC101" s="496"/>
      <c r="AD101" s="135">
        <v>0.02</v>
      </c>
      <c r="AE101" s="180">
        <f>((20/30)/12)*AD101</f>
        <v>1.1111111111111111E-3</v>
      </c>
      <c r="AF101" s="230">
        <f>ROUND(AE101*AF$97,2)</f>
        <v>6.79</v>
      </c>
    </row>
    <row r="102" spans="2:37" ht="21" customHeight="1">
      <c r="B102" s="468" t="s">
        <v>13</v>
      </c>
      <c r="C102" s="284"/>
      <c r="D102" s="284"/>
      <c r="E102" s="496" t="s">
        <v>252</v>
      </c>
      <c r="F102" s="496"/>
      <c r="G102" s="496"/>
      <c r="H102" s="496"/>
      <c r="I102" s="496"/>
      <c r="J102" s="496"/>
      <c r="K102" s="496"/>
      <c r="L102" s="496"/>
      <c r="M102" s="496"/>
      <c r="N102" s="496"/>
      <c r="O102" s="496"/>
      <c r="P102" s="496"/>
      <c r="Q102" s="496"/>
      <c r="R102" s="496"/>
      <c r="S102" s="496"/>
      <c r="T102" s="496"/>
      <c r="U102" s="496"/>
      <c r="V102" s="496"/>
      <c r="W102" s="496"/>
      <c r="X102" s="496"/>
      <c r="Y102" s="496"/>
      <c r="Z102" s="496"/>
      <c r="AA102" s="496"/>
      <c r="AB102" s="496"/>
      <c r="AC102" s="496"/>
      <c r="AD102" s="135">
        <v>0.08</v>
      </c>
      <c r="AE102" s="180">
        <f>((15/30)/12)*AD102</f>
        <v>3.3333333333333331E-3</v>
      </c>
      <c r="AF102" s="230">
        <f>ROUND(AE102*AF$97,2)</f>
        <v>20.36</v>
      </c>
    </row>
    <row r="103" spans="2:37" ht="21" customHeight="1">
      <c r="B103" s="468" t="s">
        <v>37</v>
      </c>
      <c r="C103" s="284"/>
      <c r="D103" s="284"/>
      <c r="E103" s="496" t="s">
        <v>253</v>
      </c>
      <c r="F103" s="496"/>
      <c r="G103" s="496"/>
      <c r="H103" s="496"/>
      <c r="I103" s="496"/>
      <c r="J103" s="496"/>
      <c r="K103" s="496"/>
      <c r="L103" s="496"/>
      <c r="M103" s="496"/>
      <c r="N103" s="496"/>
      <c r="O103" s="496"/>
      <c r="P103" s="496"/>
      <c r="Q103" s="496"/>
      <c r="R103" s="496"/>
      <c r="S103" s="496"/>
      <c r="T103" s="496"/>
      <c r="U103" s="496"/>
      <c r="V103" s="496"/>
      <c r="W103" s="496"/>
      <c r="X103" s="496"/>
      <c r="Y103" s="496"/>
      <c r="Z103" s="496"/>
      <c r="AA103" s="496"/>
      <c r="AB103" s="496"/>
      <c r="AC103" s="496"/>
      <c r="AD103" s="135">
        <v>0.03</v>
      </c>
      <c r="AE103" s="180">
        <f>((1+1/3)/12*AD103*((4/12)))</f>
        <v>1.1111111111111109E-3</v>
      </c>
      <c r="AF103" s="230">
        <f>ROUND(AE103*AF$97,2)</f>
        <v>6.79</v>
      </c>
    </row>
    <row r="104" spans="2:37" ht="21" customHeight="1">
      <c r="B104" s="468" t="s">
        <v>39</v>
      </c>
      <c r="C104" s="284"/>
      <c r="D104" s="284"/>
      <c r="E104" s="66" t="s">
        <v>254</v>
      </c>
      <c r="F104" s="67"/>
      <c r="G104" s="67"/>
      <c r="H104" s="68"/>
      <c r="I104" s="68"/>
      <c r="J104" s="68"/>
      <c r="K104" s="68"/>
      <c r="L104" s="68"/>
      <c r="M104" s="68"/>
      <c r="N104" s="68"/>
      <c r="O104" s="68"/>
      <c r="P104" s="68"/>
      <c r="Q104" s="68"/>
      <c r="R104" s="68"/>
      <c r="S104" s="469"/>
      <c r="T104" s="469"/>
      <c r="U104" s="469"/>
      <c r="V104" s="469"/>
      <c r="W104" s="469"/>
      <c r="X104" s="469"/>
      <c r="Y104" s="469"/>
      <c r="Z104" s="469"/>
      <c r="AA104" s="469"/>
      <c r="AB104" s="469"/>
      <c r="AC104" s="469"/>
      <c r="AD104" s="134"/>
      <c r="AE104" s="180">
        <f>((AD104/30)/12)</f>
        <v>0</v>
      </c>
      <c r="AF104" s="226">
        <f>ROUND(AE104*AF$97,2)</f>
        <v>0</v>
      </c>
    </row>
    <row r="105" spans="2:37" ht="21" customHeight="1" thickBot="1">
      <c r="B105" s="483" t="s">
        <v>81</v>
      </c>
      <c r="C105" s="484"/>
      <c r="D105" s="484"/>
      <c r="E105" s="484"/>
      <c r="F105" s="484"/>
      <c r="G105" s="484"/>
      <c r="H105" s="484"/>
      <c r="I105" s="484"/>
      <c r="J105" s="484"/>
      <c r="K105" s="484"/>
      <c r="L105" s="484"/>
      <c r="M105" s="484"/>
      <c r="N105" s="484"/>
      <c r="O105" s="484"/>
      <c r="P105" s="484"/>
      <c r="Q105" s="484"/>
      <c r="R105" s="484"/>
      <c r="S105" s="484"/>
      <c r="T105" s="484"/>
      <c r="U105" s="484"/>
      <c r="V105" s="484"/>
      <c r="W105" s="484"/>
      <c r="X105" s="484"/>
      <c r="Y105" s="484"/>
      <c r="Z105" s="484"/>
      <c r="AA105" s="484"/>
      <c r="AB105" s="484"/>
      <c r="AC105" s="484"/>
      <c r="AD105" s="484"/>
      <c r="AE105" s="223">
        <f>SUM(AE99:AE104)</f>
        <v>2.0370370370370372E-2</v>
      </c>
      <c r="AF105" s="239">
        <f>SUM(AF99:AF104)</f>
        <v>124.41574074074074</v>
      </c>
    </row>
    <row r="106" spans="2:37" ht="12.75" customHeight="1" thickBot="1"/>
    <row r="107" spans="2:37" ht="29.25" customHeight="1">
      <c r="B107" s="227" t="s">
        <v>255</v>
      </c>
      <c r="C107" s="228"/>
      <c r="D107" s="228"/>
      <c r="E107" s="228"/>
      <c r="F107" s="228"/>
      <c r="G107" s="228"/>
      <c r="H107" s="228"/>
      <c r="I107" s="228"/>
      <c r="J107" s="228"/>
      <c r="K107" s="228"/>
      <c r="L107" s="228"/>
      <c r="M107" s="228"/>
      <c r="N107" s="228"/>
      <c r="O107" s="228"/>
      <c r="P107" s="228"/>
      <c r="Q107" s="228"/>
      <c r="R107" s="228"/>
      <c r="S107" s="228"/>
      <c r="T107" s="228"/>
      <c r="U107" s="228"/>
      <c r="V107" s="228"/>
      <c r="W107" s="228"/>
      <c r="X107" s="228"/>
      <c r="Y107" s="228"/>
      <c r="Z107" s="228"/>
      <c r="AA107" s="228"/>
      <c r="AB107" s="228"/>
      <c r="AC107" s="228"/>
      <c r="AD107" s="228"/>
      <c r="AE107" s="470" t="s">
        <v>203</v>
      </c>
      <c r="AF107" s="471"/>
    </row>
    <row r="108" spans="2:37" ht="18" customHeight="1">
      <c r="B108" s="476" t="s">
        <v>77</v>
      </c>
      <c r="C108" s="477"/>
      <c r="D108" s="477"/>
      <c r="E108" s="78" t="s">
        <v>256</v>
      </c>
      <c r="F108" s="78"/>
      <c r="G108" s="78"/>
      <c r="H108" s="78"/>
      <c r="I108" s="78"/>
      <c r="J108" s="78"/>
      <c r="K108" s="78"/>
      <c r="L108" s="78"/>
      <c r="M108" s="78"/>
      <c r="N108" s="78"/>
      <c r="O108" s="78"/>
      <c r="P108" s="78"/>
      <c r="Q108" s="78"/>
      <c r="R108" s="78"/>
      <c r="S108" s="78"/>
      <c r="T108" s="78"/>
      <c r="U108" s="78"/>
      <c r="V108" s="78"/>
      <c r="W108" s="78"/>
      <c r="X108" s="78"/>
      <c r="Y108" s="78"/>
      <c r="Z108" s="78"/>
      <c r="AA108" s="78"/>
      <c r="AB108" s="78"/>
      <c r="AC108" s="78"/>
      <c r="AD108" s="78"/>
      <c r="AE108" s="82" t="s">
        <v>31</v>
      </c>
      <c r="AF108" s="229" t="s">
        <v>24</v>
      </c>
    </row>
    <row r="109" spans="2:37" ht="21" customHeight="1">
      <c r="B109" s="479" t="s">
        <v>7</v>
      </c>
      <c r="C109" s="480"/>
      <c r="D109" s="480"/>
      <c r="E109" s="487" t="s">
        <v>257</v>
      </c>
      <c r="F109" s="487"/>
      <c r="G109" s="487"/>
      <c r="H109" s="487"/>
      <c r="I109" s="487"/>
      <c r="J109" s="487"/>
      <c r="K109" s="487"/>
      <c r="L109" s="487"/>
      <c r="M109" s="487"/>
      <c r="N109" s="487"/>
      <c r="O109" s="487"/>
      <c r="P109" s="487"/>
      <c r="Q109" s="487"/>
      <c r="R109" s="487"/>
      <c r="S109" s="487"/>
      <c r="T109" s="487"/>
      <c r="U109" s="487"/>
      <c r="V109" s="487"/>
      <c r="W109" s="487"/>
      <c r="X109" s="487"/>
      <c r="Y109" s="487"/>
      <c r="Z109" s="487"/>
      <c r="AA109" s="487"/>
      <c r="AB109" s="487"/>
      <c r="AC109" s="487"/>
      <c r="AD109" s="487"/>
      <c r="AE109" s="145"/>
      <c r="AF109" s="230">
        <f>IF(AE109="",0,ROUND(AF97/220*1*7*4.345/2,2))</f>
        <v>0</v>
      </c>
    </row>
    <row r="110" spans="2:37" ht="18" customHeight="1" thickBot="1">
      <c r="B110" s="483" t="s">
        <v>81</v>
      </c>
      <c r="C110" s="484"/>
      <c r="D110" s="484"/>
      <c r="E110" s="484"/>
      <c r="F110" s="484"/>
      <c r="G110" s="484"/>
      <c r="H110" s="484"/>
      <c r="I110" s="484"/>
      <c r="J110" s="484"/>
      <c r="K110" s="484"/>
      <c r="L110" s="484"/>
      <c r="M110" s="484"/>
      <c r="N110" s="484"/>
      <c r="O110" s="484"/>
      <c r="P110" s="484"/>
      <c r="Q110" s="484"/>
      <c r="R110" s="484"/>
      <c r="S110" s="484"/>
      <c r="T110" s="484"/>
      <c r="U110" s="484"/>
      <c r="V110" s="484"/>
      <c r="W110" s="484"/>
      <c r="X110" s="484"/>
      <c r="Y110" s="484"/>
      <c r="Z110" s="484"/>
      <c r="AA110" s="484"/>
      <c r="AB110" s="484"/>
      <c r="AC110" s="484"/>
      <c r="AD110" s="484"/>
      <c r="AE110" s="223" t="s">
        <v>33</v>
      </c>
      <c r="AF110" s="231">
        <f>AF109</f>
        <v>0</v>
      </c>
    </row>
    <row r="111" spans="2:37" ht="12.75" customHeight="1" thickBot="1"/>
    <row r="112" spans="2:37" ht="17.25" customHeight="1">
      <c r="B112" s="232" t="s">
        <v>258</v>
      </c>
      <c r="C112" s="233"/>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16" t="s">
        <v>31</v>
      </c>
      <c r="AF112" s="217" t="s">
        <v>24</v>
      </c>
      <c r="AH112" s="62"/>
    </row>
    <row r="113" spans="2:34" ht="17.25" customHeight="1">
      <c r="B113" s="479" t="s">
        <v>65</v>
      </c>
      <c r="C113" s="480"/>
      <c r="D113" s="480"/>
      <c r="E113" s="481" t="str">
        <f>E98</f>
        <v>Substituto nas Ausências legais</v>
      </c>
      <c r="F113" s="481"/>
      <c r="G113" s="481"/>
      <c r="H113" s="481"/>
      <c r="I113" s="481"/>
      <c r="J113" s="481"/>
      <c r="K113" s="481"/>
      <c r="L113" s="481"/>
      <c r="M113" s="481"/>
      <c r="N113" s="481"/>
      <c r="O113" s="481"/>
      <c r="P113" s="481"/>
      <c r="Q113" s="481"/>
      <c r="R113" s="481"/>
      <c r="S113" s="481"/>
      <c r="T113" s="481"/>
      <c r="U113" s="481"/>
      <c r="V113" s="481"/>
      <c r="W113" s="481"/>
      <c r="X113" s="481"/>
      <c r="Y113" s="481"/>
      <c r="Z113" s="481"/>
      <c r="AA113" s="481"/>
      <c r="AB113" s="481"/>
      <c r="AC113" s="481"/>
      <c r="AD113" s="481"/>
      <c r="AE113" s="84">
        <f>IF(AF$42=0,"",AF113/AF$42)</f>
        <v>4.2049391895613339E-2</v>
      </c>
      <c r="AF113" s="234">
        <f>AF105</f>
        <v>124.41574074074074</v>
      </c>
    </row>
    <row r="114" spans="2:34" ht="17.25" customHeight="1">
      <c r="B114" s="479" t="s">
        <v>77</v>
      </c>
      <c r="C114" s="480"/>
      <c r="D114" s="480"/>
      <c r="E114" s="481" t="str">
        <f>E108</f>
        <v>Substituto na Intrajornada</v>
      </c>
      <c r="F114" s="481"/>
      <c r="G114" s="481"/>
      <c r="H114" s="481"/>
      <c r="I114" s="481"/>
      <c r="J114" s="481"/>
      <c r="K114" s="481"/>
      <c r="L114" s="481"/>
      <c r="M114" s="481"/>
      <c r="N114" s="481"/>
      <c r="O114" s="481"/>
      <c r="P114" s="481"/>
      <c r="Q114" s="481"/>
      <c r="R114" s="481"/>
      <c r="S114" s="481"/>
      <c r="T114" s="481"/>
      <c r="U114" s="481"/>
      <c r="V114" s="481"/>
      <c r="W114" s="481"/>
      <c r="X114" s="481"/>
      <c r="Y114" s="481"/>
      <c r="Z114" s="481"/>
      <c r="AA114" s="481"/>
      <c r="AB114" s="481"/>
      <c r="AC114" s="481"/>
      <c r="AD114" s="481"/>
      <c r="AE114" s="84">
        <f>IF(AF$42=0,"",AF114/AF$42)</f>
        <v>0</v>
      </c>
      <c r="AF114" s="234">
        <f>AF110</f>
        <v>0</v>
      </c>
      <c r="AH114" s="62"/>
    </row>
    <row r="115" spans="2:34" ht="17.25" customHeight="1" thickBot="1">
      <c r="B115" s="497" t="s">
        <v>75</v>
      </c>
      <c r="C115" s="498"/>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235">
        <f>SUM(AE113:AE114)</f>
        <v>4.2049391895613339E-2</v>
      </c>
      <c r="AF115" s="236">
        <f>SUM(AF113:AF114)</f>
        <v>124.41574074074074</v>
      </c>
    </row>
    <row r="116" spans="2:34" ht="13.5" thickBot="1">
      <c r="AE116" s="69"/>
    </row>
    <row r="117" spans="2:34" ht="24" customHeight="1" thickBot="1">
      <c r="B117" s="518" t="s">
        <v>259</v>
      </c>
      <c r="C117" s="519"/>
      <c r="D117" s="519"/>
      <c r="E117" s="519"/>
      <c r="F117" s="519"/>
      <c r="G117" s="519"/>
      <c r="H117" s="519"/>
      <c r="I117" s="519"/>
      <c r="J117" s="519"/>
      <c r="K117" s="519"/>
      <c r="L117" s="519"/>
      <c r="M117" s="519"/>
      <c r="N117" s="519"/>
      <c r="O117" s="519"/>
      <c r="P117" s="519"/>
      <c r="Q117" s="519"/>
      <c r="R117" s="519"/>
      <c r="S117" s="519"/>
      <c r="T117" s="519"/>
      <c r="U117" s="519"/>
      <c r="V117" s="519"/>
      <c r="W117" s="519"/>
      <c r="X117" s="519"/>
      <c r="Y117" s="519"/>
      <c r="Z117" s="519"/>
      <c r="AA117" s="519"/>
      <c r="AB117" s="519"/>
      <c r="AC117" s="519"/>
      <c r="AD117" s="519"/>
      <c r="AE117" s="519"/>
      <c r="AF117" s="520"/>
    </row>
    <row r="118" spans="2:34" ht="12.75" customHeight="1" thickBot="1"/>
    <row r="119" spans="2:34" ht="18" customHeight="1">
      <c r="B119" s="472">
        <v>5</v>
      </c>
      <c r="C119" s="473"/>
      <c r="D119" s="473"/>
      <c r="E119" s="474" t="s">
        <v>56</v>
      </c>
      <c r="F119" s="474"/>
      <c r="G119" s="474"/>
      <c r="H119" s="474"/>
      <c r="I119" s="474"/>
      <c r="J119" s="474"/>
      <c r="K119" s="474"/>
      <c r="L119" s="474"/>
      <c r="M119" s="474"/>
      <c r="N119" s="474"/>
      <c r="O119" s="474"/>
      <c r="P119" s="474"/>
      <c r="Q119" s="474"/>
      <c r="R119" s="474"/>
      <c r="S119" s="474"/>
      <c r="T119" s="474"/>
      <c r="U119" s="474"/>
      <c r="V119" s="474"/>
      <c r="W119" s="474"/>
      <c r="X119" s="474"/>
      <c r="Y119" s="474"/>
      <c r="Z119" s="474"/>
      <c r="AA119" s="474"/>
      <c r="AB119" s="474"/>
      <c r="AC119" s="474"/>
      <c r="AD119" s="474"/>
      <c r="AE119" s="216" t="s">
        <v>31</v>
      </c>
      <c r="AF119" s="217" t="s">
        <v>24</v>
      </c>
    </row>
    <row r="120" spans="2:34" ht="25.5" customHeight="1">
      <c r="B120" s="468" t="s">
        <v>7</v>
      </c>
      <c r="C120" s="284"/>
      <c r="D120" s="284"/>
      <c r="E120" s="300" t="s">
        <v>403</v>
      </c>
      <c r="F120" s="295"/>
      <c r="G120" s="295"/>
      <c r="H120" s="295"/>
      <c r="I120" s="295"/>
      <c r="J120" s="295"/>
      <c r="K120" s="295"/>
      <c r="L120" s="295"/>
      <c r="M120" s="295"/>
      <c r="N120" s="295"/>
      <c r="O120" s="295"/>
      <c r="P120" s="295"/>
      <c r="Q120" s="295"/>
      <c r="R120" s="295"/>
      <c r="S120" s="295"/>
      <c r="T120" s="295"/>
      <c r="U120" s="295"/>
      <c r="V120" s="295"/>
      <c r="W120" s="295"/>
      <c r="X120" s="295"/>
      <c r="Y120" s="295"/>
      <c r="Z120" s="295"/>
      <c r="AA120" s="295"/>
      <c r="AB120" s="295"/>
      <c r="AC120" s="295"/>
      <c r="AD120" s="295"/>
      <c r="AE120" s="84">
        <f>IF(AF$42=0,"",AF120/AF$42)</f>
        <v>1.7602857014104817E-4</v>
      </c>
      <c r="AF120" s="225">
        <f>'VI. Insumos Diversos'!I92</f>
        <v>0.52083333333333337</v>
      </c>
    </row>
    <row r="121" spans="2:34" ht="25.5" customHeight="1">
      <c r="B121" s="468" t="s">
        <v>9</v>
      </c>
      <c r="C121" s="284"/>
      <c r="D121" s="284"/>
      <c r="E121" s="358" t="s">
        <v>406</v>
      </c>
      <c r="F121" s="359"/>
      <c r="G121" s="359"/>
      <c r="H121" s="359"/>
      <c r="I121" s="359"/>
      <c r="J121" s="359"/>
      <c r="K121" s="359"/>
      <c r="L121" s="359"/>
      <c r="M121" s="359"/>
      <c r="N121" s="359"/>
      <c r="O121" s="359"/>
      <c r="P121" s="359"/>
      <c r="Q121" s="359"/>
      <c r="R121" s="359"/>
      <c r="S121" s="359"/>
      <c r="T121" s="359"/>
      <c r="U121" s="359"/>
      <c r="V121" s="359"/>
      <c r="W121" s="359"/>
      <c r="X121" s="359"/>
      <c r="Y121" s="359"/>
      <c r="Z121" s="359"/>
      <c r="AA121" s="359"/>
      <c r="AB121" s="359"/>
      <c r="AC121" s="359"/>
      <c r="AD121" s="360"/>
      <c r="AE121" s="84">
        <f t="shared" ref="AE121:AE129" si="2">IF(AF$42=0,"",AF121/AF$42)</f>
        <v>1.7602857014104818E-2</v>
      </c>
      <c r="AF121" s="225">
        <f>'VI. Insumos Diversos'!I93</f>
        <v>52.083333333333336</v>
      </c>
    </row>
    <row r="122" spans="2:34" ht="25.5" customHeight="1">
      <c r="B122" s="468" t="s">
        <v>11</v>
      </c>
      <c r="C122" s="284"/>
      <c r="D122" s="284"/>
      <c r="E122" s="358" t="s">
        <v>404</v>
      </c>
      <c r="F122" s="359"/>
      <c r="G122" s="359"/>
      <c r="H122" s="359"/>
      <c r="I122" s="359"/>
      <c r="J122" s="359"/>
      <c r="K122" s="359"/>
      <c r="L122" s="359"/>
      <c r="M122" s="359"/>
      <c r="N122" s="359"/>
      <c r="O122" s="359"/>
      <c r="P122" s="359"/>
      <c r="Q122" s="359"/>
      <c r="R122" s="359"/>
      <c r="S122" s="359"/>
      <c r="T122" s="359"/>
      <c r="U122" s="359"/>
      <c r="V122" s="359"/>
      <c r="W122" s="359"/>
      <c r="X122" s="359"/>
      <c r="Y122" s="359"/>
      <c r="Z122" s="359"/>
      <c r="AA122" s="359"/>
      <c r="AB122" s="359"/>
      <c r="AC122" s="359"/>
      <c r="AD122" s="360"/>
      <c r="AE122" s="84">
        <f t="shared" si="2"/>
        <v>7.0411428056419258E-3</v>
      </c>
      <c r="AF122" s="225">
        <f>'VI. Insumos Diversos'!I94</f>
        <v>20.833333333333332</v>
      </c>
    </row>
    <row r="123" spans="2:34" ht="25.5" customHeight="1">
      <c r="B123" s="468" t="s">
        <v>13</v>
      </c>
      <c r="C123" s="284"/>
      <c r="D123" s="284"/>
      <c r="E123" s="358" t="s">
        <v>407</v>
      </c>
      <c r="F123" s="359"/>
      <c r="G123" s="359"/>
      <c r="H123" s="359"/>
      <c r="I123" s="359"/>
      <c r="J123" s="359"/>
      <c r="K123" s="359"/>
      <c r="L123" s="359"/>
      <c r="M123" s="359"/>
      <c r="N123" s="359"/>
      <c r="O123" s="359"/>
      <c r="P123" s="359"/>
      <c r="Q123" s="359"/>
      <c r="R123" s="359"/>
      <c r="S123" s="359"/>
      <c r="T123" s="359"/>
      <c r="U123" s="359"/>
      <c r="V123" s="359"/>
      <c r="W123" s="359"/>
      <c r="X123" s="359"/>
      <c r="Y123" s="359"/>
      <c r="Z123" s="359"/>
      <c r="AA123" s="359"/>
      <c r="AB123" s="359"/>
      <c r="AC123" s="359"/>
      <c r="AD123" s="360"/>
      <c r="AE123" s="84">
        <f t="shared" si="2"/>
        <v>1.9803214140867918E-2</v>
      </c>
      <c r="AF123" s="225">
        <f>'VI. Insumos Diversos'!I95</f>
        <v>58.59375</v>
      </c>
    </row>
    <row r="124" spans="2:34" ht="25.5" customHeight="1">
      <c r="B124" s="468" t="s">
        <v>37</v>
      </c>
      <c r="C124" s="284"/>
      <c r="D124" s="284"/>
      <c r="E124" s="358" t="s">
        <v>405</v>
      </c>
      <c r="F124" s="359"/>
      <c r="G124" s="359"/>
      <c r="H124" s="359"/>
      <c r="I124" s="359"/>
      <c r="J124" s="359"/>
      <c r="K124" s="359"/>
      <c r="L124" s="359"/>
      <c r="M124" s="359"/>
      <c r="N124" s="359"/>
      <c r="O124" s="359"/>
      <c r="P124" s="359"/>
      <c r="Q124" s="359"/>
      <c r="R124" s="359"/>
      <c r="S124" s="359"/>
      <c r="T124" s="359"/>
      <c r="U124" s="359"/>
      <c r="V124" s="359"/>
      <c r="W124" s="359"/>
      <c r="X124" s="359"/>
      <c r="Y124" s="359"/>
      <c r="Z124" s="359"/>
      <c r="AA124" s="359"/>
      <c r="AB124" s="359"/>
      <c r="AC124" s="359"/>
      <c r="AD124" s="360"/>
      <c r="AE124" s="84">
        <f t="shared" si="2"/>
        <v>2.6404285521157222E-4</v>
      </c>
      <c r="AF124" s="225">
        <f>'VI. Insumos Diversos'!I96</f>
        <v>0.78125</v>
      </c>
    </row>
    <row r="125" spans="2:34" ht="25.5" customHeight="1">
      <c r="B125" s="468" t="s">
        <v>39</v>
      </c>
      <c r="C125" s="284"/>
      <c r="D125" s="284"/>
      <c r="E125" s="358" t="s">
        <v>408</v>
      </c>
      <c r="F125" s="359"/>
      <c r="G125" s="359"/>
      <c r="H125" s="359"/>
      <c r="I125" s="359"/>
      <c r="J125" s="359"/>
      <c r="K125" s="359"/>
      <c r="L125" s="359"/>
      <c r="M125" s="359"/>
      <c r="N125" s="359"/>
      <c r="O125" s="359"/>
      <c r="P125" s="359"/>
      <c r="Q125" s="359"/>
      <c r="R125" s="359"/>
      <c r="S125" s="359"/>
      <c r="T125" s="359"/>
      <c r="U125" s="359"/>
      <c r="V125" s="359"/>
      <c r="W125" s="359"/>
      <c r="X125" s="359"/>
      <c r="Y125" s="359"/>
      <c r="Z125" s="359"/>
      <c r="AA125" s="359"/>
      <c r="AB125" s="359"/>
      <c r="AC125" s="359"/>
      <c r="AD125" s="360"/>
      <c r="AE125" s="84">
        <f t="shared" si="2"/>
        <v>5.2808571042314444E-4</v>
      </c>
      <c r="AF125" s="225">
        <f>'VI. Insumos Diversos'!I97</f>
        <v>1.5625</v>
      </c>
    </row>
    <row r="126" spans="2:34" ht="25.5" customHeight="1">
      <c r="B126" s="468" t="s">
        <v>41</v>
      </c>
      <c r="C126" s="284"/>
      <c r="D126" s="284"/>
      <c r="E126" s="358" t="s">
        <v>409</v>
      </c>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60"/>
      <c r="AE126" s="84">
        <f t="shared" si="2"/>
        <v>8.8014285070524073E-4</v>
      </c>
      <c r="AF126" s="225">
        <f>'VI. Insumos Diversos'!I98</f>
        <v>2.6041666666666665</v>
      </c>
    </row>
    <row r="127" spans="2:34" ht="25.5" customHeight="1">
      <c r="B127" s="468" t="s">
        <v>401</v>
      </c>
      <c r="C127" s="284"/>
      <c r="D127" s="284"/>
      <c r="E127" s="358" t="s">
        <v>410</v>
      </c>
      <c r="F127" s="359"/>
      <c r="G127" s="359"/>
      <c r="H127" s="359"/>
      <c r="I127" s="359"/>
      <c r="J127" s="359"/>
      <c r="K127" s="359"/>
      <c r="L127" s="359"/>
      <c r="M127" s="359"/>
      <c r="N127" s="359"/>
      <c r="O127" s="359"/>
      <c r="P127" s="359"/>
      <c r="Q127" s="359"/>
      <c r="R127" s="359"/>
      <c r="S127" s="359"/>
      <c r="T127" s="359"/>
      <c r="U127" s="359"/>
      <c r="V127" s="359"/>
      <c r="W127" s="359"/>
      <c r="X127" s="359"/>
      <c r="Y127" s="359"/>
      <c r="Z127" s="359"/>
      <c r="AA127" s="359"/>
      <c r="AB127" s="359"/>
      <c r="AC127" s="359"/>
      <c r="AD127" s="360"/>
      <c r="AE127" s="84">
        <f t="shared" si="2"/>
        <v>3.2338560677752239E-2</v>
      </c>
      <c r="AF127" s="225">
        <f>'VI. Insumos Diversos'!I99</f>
        <v>95.683333333333337</v>
      </c>
    </row>
    <row r="128" spans="2:34" ht="25.5" customHeight="1">
      <c r="B128" s="468" t="s">
        <v>396</v>
      </c>
      <c r="C128" s="284"/>
      <c r="D128" s="284"/>
      <c r="E128" s="358" t="s">
        <v>411</v>
      </c>
      <c r="F128" s="359"/>
      <c r="G128" s="359"/>
      <c r="H128" s="359"/>
      <c r="I128" s="359"/>
      <c r="J128" s="359"/>
      <c r="K128" s="359"/>
      <c r="L128" s="359"/>
      <c r="M128" s="359"/>
      <c r="N128" s="359"/>
      <c r="O128" s="359"/>
      <c r="P128" s="359"/>
      <c r="Q128" s="359"/>
      <c r="R128" s="359"/>
      <c r="S128" s="359"/>
      <c r="T128" s="359"/>
      <c r="U128" s="359"/>
      <c r="V128" s="359"/>
      <c r="W128" s="359"/>
      <c r="X128" s="359"/>
      <c r="Y128" s="359"/>
      <c r="Z128" s="359"/>
      <c r="AA128" s="359"/>
      <c r="AB128" s="359"/>
      <c r="AC128" s="359"/>
      <c r="AD128" s="360"/>
      <c r="AE128" s="84">
        <f t="shared" si="2"/>
        <v>2.7939254652787165E-2</v>
      </c>
      <c r="AF128" s="225">
        <f>'VI. Insumos Diversos'!I100</f>
        <v>82.666666666666671</v>
      </c>
    </row>
    <row r="129" spans="2:34" ht="25.5" customHeight="1">
      <c r="B129" s="468" t="s">
        <v>402</v>
      </c>
      <c r="C129" s="284"/>
      <c r="D129" s="284"/>
      <c r="E129" s="419" t="s">
        <v>233</v>
      </c>
      <c r="F129" s="419"/>
      <c r="G129" s="419"/>
      <c r="H129" s="469" t="s">
        <v>260</v>
      </c>
      <c r="I129" s="469"/>
      <c r="J129" s="469"/>
      <c r="K129" s="469"/>
      <c r="L129" s="469"/>
      <c r="M129" s="469"/>
      <c r="N129" s="469"/>
      <c r="O129" s="469"/>
      <c r="P129" s="469"/>
      <c r="Q129" s="469"/>
      <c r="R129" s="469"/>
      <c r="S129" s="469"/>
      <c r="T129" s="469"/>
      <c r="U129" s="469"/>
      <c r="V129" s="469"/>
      <c r="W129" s="469"/>
      <c r="X129" s="469"/>
      <c r="Y129" s="469"/>
      <c r="Z129" s="469"/>
      <c r="AA129" s="469"/>
      <c r="AB129" s="469"/>
      <c r="AC129" s="469"/>
      <c r="AD129" s="469"/>
      <c r="AE129" s="84">
        <f t="shared" si="2"/>
        <v>0</v>
      </c>
      <c r="AF129" s="226"/>
    </row>
    <row r="130" spans="2:34" ht="18" customHeight="1" thickBot="1">
      <c r="B130" s="221" t="s">
        <v>62</v>
      </c>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3">
        <f>AE166</f>
        <v>0.10657332927763506</v>
      </c>
      <c r="AF130" s="224">
        <f>SUM(AF120:AF129)</f>
        <v>315.32916666666665</v>
      </c>
    </row>
    <row r="131" spans="2:34" ht="13.5" thickBot="1">
      <c r="D131" s="1"/>
    </row>
    <row r="132" spans="2:34" ht="24" customHeight="1" thickBot="1">
      <c r="B132" s="518" t="s">
        <v>261</v>
      </c>
      <c r="C132" s="519"/>
      <c r="D132" s="519"/>
      <c r="E132" s="519"/>
      <c r="F132" s="519"/>
      <c r="G132" s="519"/>
      <c r="H132" s="519"/>
      <c r="I132" s="519"/>
      <c r="J132" s="519"/>
      <c r="K132" s="519"/>
      <c r="L132" s="519"/>
      <c r="M132" s="519"/>
      <c r="N132" s="519"/>
      <c r="O132" s="519"/>
      <c r="P132" s="519"/>
      <c r="Q132" s="519"/>
      <c r="R132" s="519"/>
      <c r="S132" s="519"/>
      <c r="T132" s="519"/>
      <c r="U132" s="519"/>
      <c r="V132" s="519"/>
      <c r="W132" s="519"/>
      <c r="X132" s="519"/>
      <c r="Y132" s="519"/>
      <c r="Z132" s="519"/>
      <c r="AA132" s="519"/>
      <c r="AB132" s="519"/>
      <c r="AC132" s="519"/>
      <c r="AD132" s="519"/>
      <c r="AE132" s="519"/>
      <c r="AF132" s="520"/>
    </row>
    <row r="133" spans="2:34" ht="13.5" thickBot="1"/>
    <row r="134" spans="2:34" ht="18" customHeight="1">
      <c r="B134" s="472">
        <v>6</v>
      </c>
      <c r="C134" s="473"/>
      <c r="D134" s="473"/>
      <c r="E134" s="474" t="s">
        <v>118</v>
      </c>
      <c r="F134" s="474"/>
      <c r="G134" s="474"/>
      <c r="H134" s="474"/>
      <c r="I134" s="474"/>
      <c r="J134" s="474"/>
      <c r="K134" s="474"/>
      <c r="L134" s="474"/>
      <c r="M134" s="474"/>
      <c r="N134" s="474"/>
      <c r="O134" s="474"/>
      <c r="P134" s="474"/>
      <c r="Q134" s="474"/>
      <c r="R134" s="474"/>
      <c r="S134" s="474"/>
      <c r="T134" s="474"/>
      <c r="U134" s="474"/>
      <c r="V134" s="474"/>
      <c r="W134" s="474"/>
      <c r="X134" s="474"/>
      <c r="Y134" s="474"/>
      <c r="Z134" s="474"/>
      <c r="AA134" s="474"/>
      <c r="AB134" s="474"/>
      <c r="AC134" s="474"/>
      <c r="AD134" s="474"/>
      <c r="AE134" s="216" t="s">
        <v>31</v>
      </c>
      <c r="AF134" s="217" t="s">
        <v>24</v>
      </c>
    </row>
    <row r="135" spans="2:34" ht="15.75" customHeight="1">
      <c r="B135" s="468" t="s">
        <v>7</v>
      </c>
      <c r="C135" s="284"/>
      <c r="D135" s="284"/>
      <c r="E135" s="324" t="s">
        <v>455</v>
      </c>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181">
        <v>0.06</v>
      </c>
      <c r="AF135" s="218">
        <f>ROUND(AF$167*AE135,2)</f>
        <v>392.8</v>
      </c>
    </row>
    <row r="136" spans="2:34" ht="15.75" customHeight="1">
      <c r="B136" s="468" t="s">
        <v>9</v>
      </c>
      <c r="C136" s="284"/>
      <c r="D136" s="284"/>
      <c r="E136" s="324" t="s">
        <v>263</v>
      </c>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182">
        <v>6.7900000000000002E-2</v>
      </c>
      <c r="AF136" s="218">
        <f>ROUND(((AF$167+AF$135)*AE136),2)</f>
        <v>471.19</v>
      </c>
      <c r="AH136" s="63"/>
    </row>
    <row r="137" spans="2:34" ht="15.75" customHeight="1">
      <c r="B137" s="501" t="s">
        <v>11</v>
      </c>
      <c r="C137" s="327"/>
      <c r="D137" s="327"/>
      <c r="E137" s="502" t="s">
        <v>120</v>
      </c>
      <c r="F137" s="502"/>
      <c r="G137" s="502"/>
      <c r="H137" s="502"/>
      <c r="I137" s="502"/>
      <c r="J137" s="502"/>
      <c r="K137" s="502"/>
      <c r="L137" s="502"/>
      <c r="M137" s="502"/>
      <c r="N137" s="502"/>
      <c r="O137" s="502"/>
      <c r="P137" s="502"/>
      <c r="Q137" s="502"/>
      <c r="R137" s="502"/>
      <c r="S137" s="502"/>
      <c r="T137" s="502"/>
      <c r="U137" s="502"/>
      <c r="V137" s="502"/>
      <c r="W137" s="502"/>
      <c r="X137" s="502"/>
      <c r="Y137" s="502"/>
      <c r="Z137" s="502"/>
      <c r="AA137" s="502"/>
      <c r="AB137" s="502"/>
      <c r="AC137" s="502"/>
      <c r="AD137" s="502"/>
      <c r="AE137" s="70">
        <f>SUM(AE138,AE148)</f>
        <v>8.6499999999999994E-2</v>
      </c>
      <c r="AF137" s="218">
        <f>SUM(AF138,AF148)</f>
        <v>701.72</v>
      </c>
    </row>
    <row r="138" spans="2:34" ht="15.75" customHeight="1">
      <c r="B138" s="501"/>
      <c r="C138" s="327"/>
      <c r="D138" s="327"/>
      <c r="E138" s="503" t="s">
        <v>264</v>
      </c>
      <c r="F138" s="503"/>
      <c r="G138" s="503"/>
      <c r="H138" s="503"/>
      <c r="I138" s="503"/>
      <c r="J138" s="503"/>
      <c r="K138" s="503"/>
      <c r="L138" s="503"/>
      <c r="M138" s="503"/>
      <c r="N138" s="503"/>
      <c r="O138" s="503"/>
      <c r="P138" s="503"/>
      <c r="Q138" s="503"/>
      <c r="R138" s="503"/>
      <c r="S138" s="503"/>
      <c r="T138" s="503"/>
      <c r="U138" s="503"/>
      <c r="V138" s="503"/>
      <c r="W138" s="503"/>
      <c r="X138" s="503"/>
      <c r="Y138" s="503"/>
      <c r="Z138" s="503"/>
      <c r="AA138" s="503"/>
      <c r="AB138" s="503"/>
      <c r="AC138" s="503"/>
      <c r="AD138" s="503"/>
      <c r="AE138" s="183">
        <f>SUM(AE139:AE142)</f>
        <v>3.6499999999999998E-2</v>
      </c>
      <c r="AF138" s="219">
        <f>SUM(AF139:AF142)</f>
        <v>296.10000000000002</v>
      </c>
    </row>
    <row r="139" spans="2:34" ht="15.75" customHeight="1">
      <c r="B139" s="501"/>
      <c r="C139" s="327"/>
      <c r="D139" s="327"/>
      <c r="E139" s="481" t="s">
        <v>265</v>
      </c>
      <c r="F139" s="481"/>
      <c r="G139" s="481"/>
      <c r="H139" s="481"/>
      <c r="I139" s="481"/>
      <c r="J139" s="481"/>
      <c r="K139" s="481"/>
      <c r="L139" s="481"/>
      <c r="M139" s="481"/>
      <c r="N139" s="481"/>
      <c r="O139" s="481"/>
      <c r="P139" s="481"/>
      <c r="Q139" s="481"/>
      <c r="R139" s="481"/>
      <c r="S139" s="481"/>
      <c r="T139" s="481"/>
      <c r="U139" s="481"/>
      <c r="V139" s="481"/>
      <c r="W139" s="481"/>
      <c r="X139" s="481"/>
      <c r="Y139" s="481"/>
      <c r="Z139" s="481"/>
      <c r="AA139" s="481"/>
      <c r="AB139" s="481"/>
      <c r="AC139" s="481"/>
      <c r="AD139" s="481"/>
      <c r="AE139" s="76">
        <f>IF($J$7=1,0.0044,IF($J$7=2,0.0165,IF($J$7=3,0.0065,0)))</f>
        <v>6.4999999999999997E-3</v>
      </c>
      <c r="AF139" s="212">
        <f>ROUND(AF$180*AE139,2)</f>
        <v>52.73</v>
      </c>
    </row>
    <row r="140" spans="2:34" ht="15.75" customHeight="1">
      <c r="B140" s="501"/>
      <c r="C140" s="327"/>
      <c r="D140" s="327"/>
      <c r="E140" s="481" t="s">
        <v>266</v>
      </c>
      <c r="F140" s="481"/>
      <c r="G140" s="481"/>
      <c r="H140" s="481"/>
      <c r="I140" s="481"/>
      <c r="J140" s="481"/>
      <c r="K140" s="481"/>
      <c r="L140" s="481"/>
      <c r="M140" s="481"/>
      <c r="N140" s="481"/>
      <c r="O140" s="481"/>
      <c r="P140" s="481"/>
      <c r="Q140" s="481"/>
      <c r="R140" s="481"/>
      <c r="S140" s="481"/>
      <c r="T140" s="481"/>
      <c r="U140" s="481"/>
      <c r="V140" s="481"/>
      <c r="W140" s="481"/>
      <c r="X140" s="481"/>
      <c r="Y140" s="481"/>
      <c r="Z140" s="481"/>
      <c r="AA140" s="481"/>
      <c r="AB140" s="481"/>
      <c r="AC140" s="481"/>
      <c r="AD140" s="481"/>
      <c r="AE140" s="76">
        <f>IF($J$7=1,0.0235,IF($J$7=2,0.076,IF($J$7=3,0.03,0)))</f>
        <v>0.03</v>
      </c>
      <c r="AF140" s="212">
        <f>ROUND(AF$180*AE140,2)</f>
        <v>243.37</v>
      </c>
    </row>
    <row r="141" spans="2:34" ht="15.75" customHeight="1">
      <c r="B141" s="501"/>
      <c r="C141" s="327"/>
      <c r="D141" s="327"/>
      <c r="E141" s="66" t="s">
        <v>267</v>
      </c>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128"/>
      <c r="AE141" s="76">
        <f>IF(AE54&gt;0,0,IF(AD141="",0.045,AD141))</f>
        <v>0</v>
      </c>
      <c r="AF141" s="220">
        <f>ROUND(AF$180*AE141,2)</f>
        <v>0</v>
      </c>
    </row>
    <row r="142" spans="2:34">
      <c r="B142" s="501"/>
      <c r="C142" s="327"/>
      <c r="D142" s="327"/>
      <c r="E142" s="481" t="s">
        <v>268</v>
      </c>
      <c r="F142" s="481"/>
      <c r="G142" s="481"/>
      <c r="H142" s="481"/>
      <c r="I142" s="481"/>
      <c r="J142" s="481"/>
      <c r="K142" s="481"/>
      <c r="L142" s="481"/>
      <c r="M142" s="481"/>
      <c r="N142" s="481"/>
      <c r="O142" s="481"/>
      <c r="P142" s="481"/>
      <c r="Q142" s="481"/>
      <c r="R142" s="481"/>
      <c r="S142" s="481"/>
      <c r="T142" s="481"/>
      <c r="U142" s="481"/>
      <c r="V142" s="481"/>
      <c r="W142" s="481"/>
      <c r="X142" s="481"/>
      <c r="Y142" s="481"/>
      <c r="Z142" s="481"/>
      <c r="AA142" s="481"/>
      <c r="AB142" s="481"/>
      <c r="AC142" s="481"/>
      <c r="AD142" s="481"/>
      <c r="AE142" s="76"/>
      <c r="AF142" s="220"/>
    </row>
    <row r="143" spans="2:34" ht="15.75" customHeight="1">
      <c r="B143" s="501"/>
      <c r="C143" s="327"/>
      <c r="D143" s="327"/>
      <c r="E143" s="503" t="s">
        <v>269</v>
      </c>
      <c r="F143" s="503"/>
      <c r="G143" s="503"/>
      <c r="H143" s="503"/>
      <c r="I143" s="503"/>
      <c r="J143" s="503"/>
      <c r="K143" s="503"/>
      <c r="L143" s="503"/>
      <c r="M143" s="503"/>
      <c r="N143" s="503"/>
      <c r="O143" s="503"/>
      <c r="P143" s="503"/>
      <c r="Q143" s="503"/>
      <c r="R143" s="503"/>
      <c r="S143" s="503"/>
      <c r="T143" s="503"/>
      <c r="U143" s="503"/>
      <c r="V143" s="503"/>
      <c r="W143" s="503"/>
      <c r="X143" s="503"/>
      <c r="Y143" s="503"/>
      <c r="Z143" s="503"/>
      <c r="AA143" s="503"/>
      <c r="AB143" s="503"/>
      <c r="AC143" s="503"/>
      <c r="AD143" s="503"/>
      <c r="AE143" s="70" t="s">
        <v>270</v>
      </c>
      <c r="AF143" s="218">
        <v>0</v>
      </c>
    </row>
    <row r="144" spans="2:34">
      <c r="B144" s="501"/>
      <c r="C144" s="327"/>
      <c r="D144" s="327"/>
      <c r="E144" s="481" t="s">
        <v>271</v>
      </c>
      <c r="F144" s="481"/>
      <c r="G144" s="481"/>
      <c r="H144" s="481"/>
      <c r="I144" s="481"/>
      <c r="J144" s="481"/>
      <c r="K144" s="481"/>
      <c r="L144" s="481"/>
      <c r="M144" s="481"/>
      <c r="N144" s="481"/>
      <c r="O144" s="481"/>
      <c r="P144" s="481"/>
      <c r="Q144" s="481"/>
      <c r="R144" s="481"/>
      <c r="S144" s="481"/>
      <c r="T144" s="481"/>
      <c r="U144" s="481"/>
      <c r="V144" s="481"/>
      <c r="W144" s="481"/>
      <c r="X144" s="481"/>
      <c r="Y144" s="481"/>
      <c r="Z144" s="481"/>
      <c r="AA144" s="481"/>
      <c r="AB144" s="481"/>
      <c r="AC144" s="481"/>
      <c r="AD144" s="481"/>
      <c r="AE144" s="76"/>
      <c r="AF144" s="220"/>
    </row>
    <row r="145" spans="2:32">
      <c r="B145" s="501"/>
      <c r="C145" s="327"/>
      <c r="D145" s="327"/>
      <c r="E145" s="481" t="s">
        <v>272</v>
      </c>
      <c r="F145" s="481"/>
      <c r="G145" s="481"/>
      <c r="H145" s="481"/>
      <c r="I145" s="481"/>
      <c r="J145" s="481"/>
      <c r="K145" s="481"/>
      <c r="L145" s="481"/>
      <c r="M145" s="481"/>
      <c r="N145" s="481"/>
      <c r="O145" s="481"/>
      <c r="P145" s="481"/>
      <c r="Q145" s="481"/>
      <c r="R145" s="481"/>
      <c r="S145" s="481"/>
      <c r="T145" s="481"/>
      <c r="U145" s="481"/>
      <c r="V145" s="481"/>
      <c r="W145" s="481"/>
      <c r="X145" s="481"/>
      <c r="Y145" s="481"/>
      <c r="Z145" s="481"/>
      <c r="AA145" s="481"/>
      <c r="AB145" s="481"/>
      <c r="AC145" s="481"/>
      <c r="AD145" s="481"/>
      <c r="AE145" s="76"/>
      <c r="AF145" s="220"/>
    </row>
    <row r="146" spans="2:32">
      <c r="B146" s="501"/>
      <c r="C146" s="327"/>
      <c r="D146" s="327"/>
      <c r="E146" s="481" t="s">
        <v>273</v>
      </c>
      <c r="F146" s="481"/>
      <c r="G146" s="481"/>
      <c r="H146" s="481"/>
      <c r="I146" s="481"/>
      <c r="J146" s="481"/>
      <c r="K146" s="481"/>
      <c r="L146" s="481"/>
      <c r="M146" s="481"/>
      <c r="N146" s="481"/>
      <c r="O146" s="481"/>
      <c r="P146" s="481"/>
      <c r="Q146" s="481"/>
      <c r="R146" s="481"/>
      <c r="S146" s="481"/>
      <c r="T146" s="481"/>
      <c r="U146" s="481"/>
      <c r="V146" s="481"/>
      <c r="W146" s="481"/>
      <c r="X146" s="481"/>
      <c r="Y146" s="481"/>
      <c r="Z146" s="481"/>
      <c r="AA146" s="481"/>
      <c r="AB146" s="481"/>
      <c r="AC146" s="481"/>
      <c r="AD146" s="481"/>
      <c r="AE146" s="76"/>
      <c r="AF146" s="220"/>
    </row>
    <row r="147" spans="2:32">
      <c r="B147" s="501"/>
      <c r="C147" s="327"/>
      <c r="D147" s="327"/>
      <c r="E147" s="481" t="s">
        <v>274</v>
      </c>
      <c r="F147" s="481"/>
      <c r="G147" s="481"/>
      <c r="H147" s="481"/>
      <c r="I147" s="481"/>
      <c r="J147" s="481"/>
      <c r="K147" s="481"/>
      <c r="L147" s="481"/>
      <c r="M147" s="481"/>
      <c r="N147" s="481"/>
      <c r="O147" s="481"/>
      <c r="P147" s="481"/>
      <c r="Q147" s="481"/>
      <c r="R147" s="481"/>
      <c r="S147" s="481"/>
      <c r="T147" s="481"/>
      <c r="U147" s="481"/>
      <c r="V147" s="481"/>
      <c r="W147" s="481"/>
      <c r="X147" s="481"/>
      <c r="Y147" s="481"/>
      <c r="Z147" s="481"/>
      <c r="AA147" s="481"/>
      <c r="AB147" s="481"/>
      <c r="AC147" s="481"/>
      <c r="AD147" s="481"/>
      <c r="AE147" s="76"/>
      <c r="AF147" s="220"/>
    </row>
    <row r="148" spans="2:32" ht="15.75" customHeight="1">
      <c r="B148" s="501"/>
      <c r="C148" s="327"/>
      <c r="D148" s="327"/>
      <c r="E148" s="503" t="s">
        <v>275</v>
      </c>
      <c r="F148" s="503"/>
      <c r="G148" s="503"/>
      <c r="H148" s="503"/>
      <c r="I148" s="503"/>
      <c r="J148" s="503"/>
      <c r="K148" s="503"/>
      <c r="L148" s="503"/>
      <c r="M148" s="503"/>
      <c r="N148" s="503"/>
      <c r="O148" s="503"/>
      <c r="P148" s="503"/>
      <c r="Q148" s="503"/>
      <c r="R148" s="503"/>
      <c r="S148" s="503"/>
      <c r="T148" s="503"/>
      <c r="U148" s="503"/>
      <c r="V148" s="503"/>
      <c r="W148" s="503"/>
      <c r="X148" s="503"/>
      <c r="Y148" s="503"/>
      <c r="Z148" s="503"/>
      <c r="AA148" s="503"/>
      <c r="AB148" s="503"/>
      <c r="AC148" s="503"/>
      <c r="AD148" s="503"/>
      <c r="AE148" s="183">
        <f>SUM(AE149)</f>
        <v>0.05</v>
      </c>
      <c r="AF148" s="219">
        <f>SUM(AF149:AF152)</f>
        <v>405.62</v>
      </c>
    </row>
    <row r="149" spans="2:32" ht="15.75" customHeight="1">
      <c r="B149" s="501"/>
      <c r="C149" s="327"/>
      <c r="D149" s="327"/>
      <c r="E149" s="295" t="s">
        <v>276</v>
      </c>
      <c r="F149" s="295"/>
      <c r="G149" s="295"/>
      <c r="H149" s="295"/>
      <c r="I149" s="295"/>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184">
        <v>0.05</v>
      </c>
      <c r="AF149" s="212">
        <f>ROUND(AF$180*AE149,2)</f>
        <v>405.62</v>
      </c>
    </row>
    <row r="150" spans="2:32" ht="12.75" customHeight="1">
      <c r="B150" s="501"/>
      <c r="C150" s="327"/>
      <c r="D150" s="327"/>
      <c r="E150" s="295" t="s">
        <v>133</v>
      </c>
      <c r="F150" s="295"/>
      <c r="G150" s="295"/>
      <c r="H150" s="295"/>
      <c r="I150" s="295"/>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185"/>
      <c r="AF150" s="220"/>
    </row>
    <row r="151" spans="2:32" ht="12.75" customHeight="1">
      <c r="B151" s="501"/>
      <c r="C151" s="327"/>
      <c r="D151" s="327"/>
      <c r="E151" s="295" t="s">
        <v>134</v>
      </c>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185"/>
      <c r="AF151" s="220"/>
    </row>
    <row r="152" spans="2:32" ht="12.75" customHeight="1">
      <c r="B152" s="501"/>
      <c r="C152" s="327"/>
      <c r="D152" s="327"/>
      <c r="E152" s="295" t="s">
        <v>135</v>
      </c>
      <c r="F152" s="295"/>
      <c r="G152" s="295"/>
      <c r="H152" s="295"/>
      <c r="I152" s="295"/>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185"/>
      <c r="AF152" s="220"/>
    </row>
    <row r="153" spans="2:32" ht="12.75" customHeight="1">
      <c r="B153" s="501"/>
      <c r="C153" s="327"/>
      <c r="D153" s="327"/>
      <c r="E153" s="330" t="s">
        <v>136</v>
      </c>
      <c r="F153" s="330"/>
      <c r="G153" s="330"/>
      <c r="H153" s="330"/>
      <c r="I153" s="330"/>
      <c r="J153" s="330"/>
      <c r="K153" s="330"/>
      <c r="L153" s="330"/>
      <c r="M153" s="330"/>
      <c r="N153" s="330"/>
      <c r="O153" s="330"/>
      <c r="P153" s="330"/>
      <c r="Q153" s="330"/>
      <c r="R153" s="330"/>
      <c r="S153" s="330"/>
      <c r="T153" s="330"/>
      <c r="U153" s="330"/>
      <c r="V153" s="330"/>
      <c r="W153" s="330"/>
      <c r="X153" s="330"/>
      <c r="Y153" s="330"/>
      <c r="Z153" s="330"/>
      <c r="AA153" s="330"/>
      <c r="AB153" s="330"/>
      <c r="AC153" s="330"/>
      <c r="AD153" s="330"/>
      <c r="AE153" s="185"/>
      <c r="AF153" s="220"/>
    </row>
    <row r="154" spans="2:32" ht="12.75" customHeight="1">
      <c r="B154" s="501"/>
      <c r="C154" s="327"/>
      <c r="D154" s="327"/>
      <c r="E154" s="295" t="s">
        <v>137</v>
      </c>
      <c r="F154" s="295"/>
      <c r="G154" s="295"/>
      <c r="H154" s="295"/>
      <c r="I154" s="295"/>
      <c r="J154" s="295"/>
      <c r="K154" s="295"/>
      <c r="L154" s="295"/>
      <c r="M154" s="295"/>
      <c r="N154" s="295"/>
      <c r="O154" s="295"/>
      <c r="P154" s="295"/>
      <c r="Q154" s="295"/>
      <c r="R154" s="295"/>
      <c r="S154" s="295"/>
      <c r="T154" s="295"/>
      <c r="U154" s="295"/>
      <c r="V154" s="295"/>
      <c r="W154" s="295"/>
      <c r="X154" s="295"/>
      <c r="Y154" s="295"/>
      <c r="Z154" s="295"/>
      <c r="AA154" s="295"/>
      <c r="AB154" s="295"/>
      <c r="AC154" s="295"/>
      <c r="AD154" s="295"/>
      <c r="AE154" s="185"/>
      <c r="AF154" s="220"/>
    </row>
    <row r="155" spans="2:32" ht="12.75" customHeight="1">
      <c r="B155" s="501"/>
      <c r="C155" s="327"/>
      <c r="D155" s="327"/>
      <c r="E155" s="295" t="s">
        <v>138</v>
      </c>
      <c r="F155" s="295"/>
      <c r="G155" s="295"/>
      <c r="H155" s="295"/>
      <c r="I155" s="295"/>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185"/>
      <c r="AF155" s="220"/>
    </row>
    <row r="156" spans="2:32" ht="12.75" customHeight="1">
      <c r="B156" s="501"/>
      <c r="C156" s="327"/>
      <c r="D156" s="327"/>
      <c r="E156" s="295" t="s">
        <v>139</v>
      </c>
      <c r="F156" s="295"/>
      <c r="G156" s="295"/>
      <c r="H156" s="295"/>
      <c r="I156" s="295"/>
      <c r="J156" s="295"/>
      <c r="K156" s="295"/>
      <c r="L156" s="295"/>
      <c r="M156" s="295"/>
      <c r="N156" s="295"/>
      <c r="O156" s="295"/>
      <c r="P156" s="295"/>
      <c r="Q156" s="295"/>
      <c r="R156" s="295"/>
      <c r="S156" s="295"/>
      <c r="T156" s="295"/>
      <c r="U156" s="295"/>
      <c r="V156" s="295"/>
      <c r="W156" s="295"/>
      <c r="X156" s="295"/>
      <c r="Y156" s="295"/>
      <c r="Z156" s="295"/>
      <c r="AA156" s="295"/>
      <c r="AB156" s="295"/>
      <c r="AC156" s="295"/>
      <c r="AD156" s="295"/>
      <c r="AE156" s="185"/>
      <c r="AF156" s="220"/>
    </row>
    <row r="157" spans="2:32">
      <c r="B157" s="501"/>
      <c r="C157" s="327"/>
      <c r="D157" s="327"/>
      <c r="E157" s="295" t="s">
        <v>140</v>
      </c>
      <c r="F157" s="295"/>
      <c r="G157" s="295"/>
      <c r="H157" s="295"/>
      <c r="I157" s="295"/>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185"/>
      <c r="AF157" s="220"/>
    </row>
    <row r="158" spans="2:32" ht="18" customHeight="1" thickBot="1">
      <c r="B158" s="221" t="s">
        <v>142</v>
      </c>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3">
        <f>IF(AF$42=0,"",AF158/AF$42)</f>
        <v>0.52917060970663776</v>
      </c>
      <c r="AF158" s="224">
        <f>SUM(AF136,AF137,AF135)</f>
        <v>1565.71</v>
      </c>
    </row>
    <row r="159" spans="2:32" ht="12.75" customHeight="1" thickBot="1">
      <c r="D159" s="1"/>
    </row>
    <row r="160" spans="2:32" ht="21" customHeight="1">
      <c r="B160" s="521" t="s">
        <v>277</v>
      </c>
      <c r="C160" s="522"/>
      <c r="D160" s="522"/>
      <c r="E160" s="522"/>
      <c r="F160" s="522"/>
      <c r="G160" s="522"/>
      <c r="H160" s="522"/>
      <c r="I160" s="522"/>
      <c r="J160" s="522"/>
      <c r="K160" s="522"/>
      <c r="L160" s="522"/>
      <c r="M160" s="522"/>
      <c r="N160" s="522"/>
      <c r="O160" s="522"/>
      <c r="P160" s="522"/>
      <c r="Q160" s="522"/>
      <c r="R160" s="522"/>
      <c r="S160" s="522"/>
      <c r="T160" s="522"/>
      <c r="U160" s="522"/>
      <c r="V160" s="522"/>
      <c r="W160" s="522"/>
      <c r="X160" s="522"/>
      <c r="Y160" s="522"/>
      <c r="Z160" s="522"/>
      <c r="AA160" s="522"/>
      <c r="AB160" s="522"/>
      <c r="AC160" s="522"/>
      <c r="AD160" s="522"/>
      <c r="AE160" s="522"/>
      <c r="AF160" s="523"/>
    </row>
    <row r="161" spans="2:34" ht="18.75" customHeight="1">
      <c r="B161" s="499" t="s">
        <v>144</v>
      </c>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101" t="s">
        <v>31</v>
      </c>
      <c r="AF161" s="211" t="s">
        <v>24</v>
      </c>
    </row>
    <row r="162" spans="2:34" ht="18.75" customHeight="1">
      <c r="B162" s="468" t="s">
        <v>7</v>
      </c>
      <c r="C162" s="284"/>
      <c r="D162" s="284"/>
      <c r="E162" s="295" t="s">
        <v>145</v>
      </c>
      <c r="F162" s="295"/>
      <c r="G162" s="295"/>
      <c r="H162" s="295"/>
      <c r="I162" s="295"/>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76">
        <f>IF(AF$42=0,"",AF162/AF$42)</f>
        <v>1</v>
      </c>
      <c r="AF162" s="212">
        <f>AF42</f>
        <v>2958.8</v>
      </c>
    </row>
    <row r="163" spans="2:34" ht="18.75" customHeight="1">
      <c r="B163" s="468" t="s">
        <v>9</v>
      </c>
      <c r="C163" s="284"/>
      <c r="D163" s="284"/>
      <c r="E163" s="295" t="s">
        <v>278</v>
      </c>
      <c r="F163" s="295"/>
      <c r="G163" s="295"/>
      <c r="H163" s="295"/>
      <c r="I163" s="295"/>
      <c r="J163" s="295"/>
      <c r="K163" s="295"/>
      <c r="L163" s="295"/>
      <c r="M163" s="295"/>
      <c r="N163" s="295"/>
      <c r="O163" s="295"/>
      <c r="P163" s="295"/>
      <c r="Q163" s="295"/>
      <c r="R163" s="295"/>
      <c r="S163" s="295"/>
      <c r="T163" s="295"/>
      <c r="U163" s="295"/>
      <c r="V163" s="295"/>
      <c r="W163" s="295"/>
      <c r="X163" s="295"/>
      <c r="Y163" s="295"/>
      <c r="Z163" s="295"/>
      <c r="AA163" s="295"/>
      <c r="AB163" s="295"/>
      <c r="AC163" s="295"/>
      <c r="AD163" s="295"/>
      <c r="AE163" s="76">
        <f>IF(AF$42=0,"",AF163/AF$42)</f>
        <v>0.99289238880627273</v>
      </c>
      <c r="AF163" s="212">
        <f>AF82</f>
        <v>2937.77</v>
      </c>
    </row>
    <row r="164" spans="2:34" ht="18.75" customHeight="1">
      <c r="B164" s="468" t="s">
        <v>11</v>
      </c>
      <c r="C164" s="284"/>
      <c r="D164" s="284"/>
      <c r="E164" s="295" t="s">
        <v>279</v>
      </c>
      <c r="F164" s="295"/>
      <c r="G164" s="295"/>
      <c r="H164" s="295"/>
      <c r="I164" s="295"/>
      <c r="J164" s="295"/>
      <c r="K164" s="295"/>
      <c r="L164" s="295"/>
      <c r="M164" s="295"/>
      <c r="N164" s="295"/>
      <c r="O164" s="295"/>
      <c r="P164" s="295"/>
      <c r="Q164" s="295"/>
      <c r="R164" s="295"/>
      <c r="S164" s="295"/>
      <c r="T164" s="295"/>
      <c r="U164" s="295"/>
      <c r="V164" s="295"/>
      <c r="W164" s="295"/>
      <c r="X164" s="295"/>
      <c r="Y164" s="295"/>
      <c r="Z164" s="295"/>
      <c r="AA164" s="295"/>
      <c r="AB164" s="295"/>
      <c r="AC164" s="295"/>
      <c r="AD164" s="295"/>
      <c r="AE164" s="76">
        <f>IF(AF$42=0,"",AF164/AF$42)</f>
        <v>7.1099770177098814E-2</v>
      </c>
      <c r="AF164" s="212">
        <f>AF93</f>
        <v>210.37</v>
      </c>
    </row>
    <row r="165" spans="2:34" ht="18.75" customHeight="1">
      <c r="B165" s="468" t="s">
        <v>13</v>
      </c>
      <c r="C165" s="284"/>
      <c r="D165" s="284"/>
      <c r="E165" s="295" t="s">
        <v>280</v>
      </c>
      <c r="F165" s="295"/>
      <c r="G165" s="295"/>
      <c r="H165" s="295"/>
      <c r="I165" s="295"/>
      <c r="J165" s="295"/>
      <c r="K165" s="295"/>
      <c r="L165" s="295"/>
      <c r="M165" s="295"/>
      <c r="N165" s="295"/>
      <c r="O165" s="295"/>
      <c r="P165" s="295"/>
      <c r="Q165" s="295"/>
      <c r="R165" s="295"/>
      <c r="S165" s="295"/>
      <c r="T165" s="295"/>
      <c r="U165" s="295"/>
      <c r="V165" s="295"/>
      <c r="W165" s="295"/>
      <c r="X165" s="295"/>
      <c r="Y165" s="295"/>
      <c r="Z165" s="295"/>
      <c r="AA165" s="295"/>
      <c r="AB165" s="295"/>
      <c r="AC165" s="295"/>
      <c r="AD165" s="295"/>
      <c r="AE165" s="76">
        <f>IF(AF$42=0,"",AF165/AF$42)</f>
        <v>4.2049391895613339E-2</v>
      </c>
      <c r="AF165" s="212">
        <f>AF115</f>
        <v>124.41574074074074</v>
      </c>
    </row>
    <row r="166" spans="2:34" ht="18.75" customHeight="1">
      <c r="B166" s="468" t="s">
        <v>37</v>
      </c>
      <c r="C166" s="284"/>
      <c r="D166" s="284"/>
      <c r="E166" s="295" t="s">
        <v>281</v>
      </c>
      <c r="F166" s="295"/>
      <c r="G166" s="295"/>
      <c r="H166" s="295"/>
      <c r="I166" s="295"/>
      <c r="J166" s="295"/>
      <c r="K166" s="295"/>
      <c r="L166" s="295"/>
      <c r="M166" s="295"/>
      <c r="N166" s="295"/>
      <c r="O166" s="295"/>
      <c r="P166" s="295"/>
      <c r="Q166" s="295"/>
      <c r="R166" s="295"/>
      <c r="S166" s="295"/>
      <c r="T166" s="295"/>
      <c r="U166" s="295"/>
      <c r="V166" s="295"/>
      <c r="W166" s="295"/>
      <c r="X166" s="295"/>
      <c r="Y166" s="295"/>
      <c r="Z166" s="295"/>
      <c r="AA166" s="295"/>
      <c r="AB166" s="295"/>
      <c r="AC166" s="295"/>
      <c r="AD166" s="295"/>
      <c r="AE166" s="76">
        <f>IF(AF$42=0,"",AF166/AF$42)</f>
        <v>0.10657332927763506</v>
      </c>
      <c r="AF166" s="212">
        <f>AF130</f>
        <v>315.32916666666665</v>
      </c>
    </row>
    <row r="167" spans="2:34" ht="18.75" customHeight="1">
      <c r="B167" s="504" t="s">
        <v>282</v>
      </c>
      <c r="C167" s="323"/>
      <c r="D167" s="323"/>
      <c r="E167" s="323"/>
      <c r="F167" s="323"/>
      <c r="G167" s="323"/>
      <c r="H167" s="323"/>
      <c r="I167" s="323"/>
      <c r="J167" s="323"/>
      <c r="K167" s="323"/>
      <c r="L167" s="323"/>
      <c r="M167" s="323"/>
      <c r="N167" s="323"/>
      <c r="O167" s="323"/>
      <c r="P167" s="323"/>
      <c r="Q167" s="323"/>
      <c r="R167" s="323"/>
      <c r="S167" s="323"/>
      <c r="T167" s="323"/>
      <c r="U167" s="323"/>
      <c r="V167" s="323"/>
      <c r="W167" s="323"/>
      <c r="X167" s="323"/>
      <c r="Y167" s="323"/>
      <c r="Z167" s="323"/>
      <c r="AA167" s="323"/>
      <c r="AB167" s="323"/>
      <c r="AC167" s="323"/>
      <c r="AD167" s="323"/>
      <c r="AE167" s="186">
        <f>SUM(AE162:AE166)</f>
        <v>2.2126148801566199</v>
      </c>
      <c r="AF167" s="213">
        <f>SUM(AF162:AF166)</f>
        <v>6546.6849074074071</v>
      </c>
    </row>
    <row r="168" spans="2:34" ht="18.75" customHeight="1">
      <c r="B168" s="468" t="s">
        <v>39</v>
      </c>
      <c r="C168" s="284"/>
      <c r="D168" s="284"/>
      <c r="E168" s="295" t="s">
        <v>283</v>
      </c>
      <c r="F168" s="295"/>
      <c r="G168" s="295"/>
      <c r="H168" s="295"/>
      <c r="I168" s="295"/>
      <c r="J168" s="295"/>
      <c r="K168" s="295"/>
      <c r="L168" s="295"/>
      <c r="M168" s="295"/>
      <c r="N168" s="295"/>
      <c r="O168" s="295"/>
      <c r="P168" s="295"/>
      <c r="Q168" s="295"/>
      <c r="R168" s="295"/>
      <c r="S168" s="295"/>
      <c r="T168" s="295"/>
      <c r="U168" s="295"/>
      <c r="V168" s="295"/>
      <c r="W168" s="295"/>
      <c r="X168" s="295"/>
      <c r="Y168" s="295"/>
      <c r="Z168" s="295"/>
      <c r="AA168" s="295"/>
      <c r="AB168" s="295"/>
      <c r="AC168" s="295"/>
      <c r="AD168" s="295"/>
      <c r="AE168" s="76">
        <f>IF(AF$42=0,"",AF168/AF$42)</f>
        <v>0.52917060970663776</v>
      </c>
      <c r="AF168" s="212">
        <f>AF158</f>
        <v>1565.71</v>
      </c>
    </row>
    <row r="169" spans="2:34" ht="18.75" customHeight="1" thickBot="1">
      <c r="B169" s="505" t="s">
        <v>284</v>
      </c>
      <c r="C169" s="506"/>
      <c r="D169" s="506"/>
      <c r="E169" s="506"/>
      <c r="F169" s="506"/>
      <c r="G169" s="506"/>
      <c r="H169" s="506"/>
      <c r="I169" s="506"/>
      <c r="J169" s="506"/>
      <c r="K169" s="506"/>
      <c r="L169" s="506"/>
      <c r="M169" s="506"/>
      <c r="N169" s="506"/>
      <c r="O169" s="506"/>
      <c r="P169" s="506"/>
      <c r="Q169" s="506"/>
      <c r="R169" s="506"/>
      <c r="S169" s="506"/>
      <c r="T169" s="506"/>
      <c r="U169" s="506"/>
      <c r="V169" s="506"/>
      <c r="W169" s="506"/>
      <c r="X169" s="506"/>
      <c r="Y169" s="506"/>
      <c r="Z169" s="506"/>
      <c r="AA169" s="506"/>
      <c r="AB169" s="506"/>
      <c r="AC169" s="506"/>
      <c r="AD169" s="506"/>
      <c r="AE169" s="214">
        <f>SUM(AE164:AE168)</f>
        <v>2.9615079812136047</v>
      </c>
      <c r="AF169" s="215">
        <f>AF167+AF168</f>
        <v>8112.3949074074071</v>
      </c>
    </row>
    <row r="170" spans="2:34" ht="13.5" thickBot="1">
      <c r="D170" s="1"/>
    </row>
    <row r="171" spans="2:34" ht="18.75" customHeight="1">
      <c r="B171" s="189" t="s">
        <v>285</v>
      </c>
      <c r="C171" s="190"/>
      <c r="D171" s="190"/>
      <c r="E171" s="190"/>
      <c r="F171" s="190"/>
      <c r="G171" s="190"/>
      <c r="H171" s="190"/>
      <c r="I171" s="190"/>
      <c r="J171" s="190"/>
      <c r="K171" s="190"/>
      <c r="L171" s="190"/>
      <c r="M171" s="190"/>
      <c r="N171" s="190"/>
      <c r="O171" s="190"/>
      <c r="P171" s="190"/>
      <c r="Q171" s="190"/>
      <c r="R171" s="190"/>
      <c r="S171" s="190"/>
      <c r="T171" s="190"/>
      <c r="U171" s="190"/>
      <c r="V171" s="190"/>
      <c r="W171" s="190"/>
      <c r="X171" s="190"/>
      <c r="Y171" s="190"/>
      <c r="Z171" s="190"/>
      <c r="AA171" s="190"/>
      <c r="AB171" s="190"/>
      <c r="AC171" s="190"/>
      <c r="AD171" s="190"/>
      <c r="AE171" s="191"/>
      <c r="AF171" s="192">
        <f>AF169</f>
        <v>8112.3949074074071</v>
      </c>
      <c r="AH171" s="62"/>
    </row>
    <row r="172" spans="2:34" ht="18.75" customHeight="1">
      <c r="B172" s="193" t="str">
        <f>"Valor por posto de trabalho (cada posto contém "&amp;AE172&amp;" empregado(s))"</f>
        <v>Valor por posto de trabalho (cada posto contém 2 empregado(s))</v>
      </c>
      <c r="C172" s="178"/>
      <c r="D172" s="178"/>
      <c r="E172" s="178"/>
      <c r="F172" s="178"/>
      <c r="G172" s="178"/>
      <c r="H172" s="178"/>
      <c r="I172" s="178"/>
      <c r="J172" s="178"/>
      <c r="K172" s="178"/>
      <c r="L172" s="178"/>
      <c r="M172" s="178"/>
      <c r="N172" s="178"/>
      <c r="O172" s="178"/>
      <c r="P172" s="178"/>
      <c r="Q172" s="178"/>
      <c r="R172" s="178"/>
      <c r="S172" s="178"/>
      <c r="T172" s="178"/>
      <c r="U172" s="178"/>
      <c r="V172" s="178"/>
      <c r="W172" s="178"/>
      <c r="X172" s="178"/>
      <c r="Y172" s="178"/>
      <c r="Z172" s="178"/>
      <c r="AA172" s="178"/>
      <c r="AB172" s="178"/>
      <c r="AC172" s="178"/>
      <c r="AD172" s="178"/>
      <c r="AE172" s="187">
        <f>AE18</f>
        <v>2</v>
      </c>
      <c r="AF172" s="194">
        <f>AF171*AE172</f>
        <v>16224.789814814814</v>
      </c>
      <c r="AH172" s="138"/>
    </row>
    <row r="173" spans="2:34" ht="18.75" customHeight="1">
      <c r="B173" s="193" t="s">
        <v>286</v>
      </c>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87">
        <f>AE19</f>
        <v>31</v>
      </c>
      <c r="AF173" s="194">
        <f>AF172*AE173</f>
        <v>502968.48425925925</v>
      </c>
    </row>
    <row r="174" spans="2:34" ht="18.75" customHeight="1">
      <c r="B174" s="193" t="s">
        <v>287</v>
      </c>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8"/>
      <c r="AB174" s="178"/>
      <c r="AC174" s="178"/>
      <c r="AD174" s="178"/>
      <c r="AE174" s="187"/>
      <c r="AF174" s="194">
        <f>AF173*12</f>
        <v>6035621.8111111112</v>
      </c>
    </row>
    <row r="175" spans="2:34" ht="18.75" customHeight="1">
      <c r="B175" s="193" t="s">
        <v>288</v>
      </c>
      <c r="C175" s="178"/>
      <c r="D175" s="178"/>
      <c r="E175" s="178"/>
      <c r="F175" s="178"/>
      <c r="G175" s="178"/>
      <c r="H175" s="178"/>
      <c r="I175" s="178"/>
      <c r="J175" s="178"/>
      <c r="K175" s="178"/>
      <c r="L175" s="178"/>
      <c r="M175" s="178"/>
      <c r="N175" s="178"/>
      <c r="O175" s="178"/>
      <c r="P175" s="178"/>
      <c r="Q175" s="178"/>
      <c r="R175" s="178"/>
      <c r="S175" s="178"/>
      <c r="T175" s="178"/>
      <c r="U175" s="178"/>
      <c r="V175" s="178"/>
      <c r="W175" s="178"/>
      <c r="X175" s="178"/>
      <c r="Y175" s="178"/>
      <c r="Z175" s="178"/>
      <c r="AA175" s="178"/>
      <c r="AB175" s="178"/>
      <c r="AC175" s="178"/>
      <c r="AD175" s="178"/>
      <c r="AE175" s="187"/>
      <c r="AF175" s="194">
        <f>AF173*AE14</f>
        <v>15089054.527777778</v>
      </c>
    </row>
    <row r="176" spans="2:34" ht="18.75" customHeight="1">
      <c r="B176" s="507"/>
      <c r="C176" s="508"/>
      <c r="D176" s="508"/>
      <c r="E176" s="508"/>
      <c r="F176" s="508"/>
      <c r="G176" s="508"/>
      <c r="H176" s="508"/>
      <c r="I176" s="508"/>
      <c r="J176" s="508"/>
      <c r="K176" s="508"/>
      <c r="L176" s="508"/>
      <c r="M176" s="508"/>
      <c r="N176" s="508"/>
      <c r="O176" s="508"/>
      <c r="P176" s="508"/>
      <c r="Q176" s="508"/>
      <c r="R176" s="508"/>
      <c r="S176" s="508"/>
      <c r="T176" s="508"/>
      <c r="U176" s="508"/>
      <c r="V176" s="508"/>
      <c r="W176" s="508"/>
      <c r="X176" s="508"/>
      <c r="Y176" s="508"/>
      <c r="Z176" s="508"/>
      <c r="AA176" s="508"/>
      <c r="AB176" s="508"/>
      <c r="AC176" s="508"/>
      <c r="AD176" s="508"/>
      <c r="AE176" s="188"/>
      <c r="AF176" s="194">
        <f>IF(AE176=0,0,AF$169/AE176)</f>
        <v>0</v>
      </c>
    </row>
    <row r="177" spans="2:32" ht="18.75" customHeight="1" thickBot="1">
      <c r="B177" s="509"/>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c r="AA177" s="510"/>
      <c r="AB177" s="510"/>
      <c r="AC177" s="510"/>
      <c r="AD177" s="510"/>
      <c r="AE177" s="195"/>
      <c r="AF177" s="196">
        <f>IF(AE177=0,0,AF$169/AE177)</f>
        <v>0</v>
      </c>
    </row>
    <row r="178" spans="2:32" ht="13.5" thickBot="1"/>
    <row r="179" spans="2:32" ht="18.75" customHeight="1">
      <c r="B179" s="197" t="s">
        <v>289</v>
      </c>
      <c r="C179" s="198"/>
      <c r="D179" s="198"/>
      <c r="E179" s="198"/>
      <c r="F179" s="198"/>
      <c r="G179" s="198"/>
      <c r="H179" s="198"/>
      <c r="I179" s="198"/>
      <c r="J179" s="198"/>
      <c r="K179" s="198"/>
      <c r="L179" s="198"/>
      <c r="M179" s="198"/>
      <c r="N179" s="198"/>
      <c r="O179" s="198"/>
      <c r="P179" s="198"/>
      <c r="Q179" s="198"/>
      <c r="R179" s="198"/>
      <c r="S179" s="198"/>
      <c r="T179" s="198"/>
      <c r="U179" s="198"/>
      <c r="V179" s="198"/>
      <c r="W179" s="199"/>
      <c r="X179" s="198"/>
      <c r="Y179" s="198"/>
      <c r="Z179" s="198"/>
      <c r="AA179" s="198"/>
      <c r="AB179" s="198"/>
      <c r="AC179" s="198"/>
      <c r="AD179" s="198"/>
      <c r="AE179" s="200"/>
      <c r="AF179" s="201">
        <f>AF42+AF82+AF93+AF115+AF130+AF135+AF136</f>
        <v>7410.6749074074069</v>
      </c>
    </row>
    <row r="180" spans="2:32" ht="18.75" customHeight="1" thickBot="1">
      <c r="B180" s="202" t="s">
        <v>290</v>
      </c>
      <c r="C180" s="203"/>
      <c r="D180" s="203"/>
      <c r="E180" s="203"/>
      <c r="F180" s="203"/>
      <c r="G180" s="203"/>
      <c r="H180" s="203"/>
      <c r="I180" s="203"/>
      <c r="J180" s="203"/>
      <c r="K180" s="203"/>
      <c r="L180" s="203"/>
      <c r="M180" s="203"/>
      <c r="N180" s="203"/>
      <c r="O180" s="203"/>
      <c r="P180" s="203"/>
      <c r="Q180" s="203"/>
      <c r="R180" s="203"/>
      <c r="S180" s="203"/>
      <c r="T180" s="203"/>
      <c r="U180" s="203"/>
      <c r="V180" s="203"/>
      <c r="W180" s="204"/>
      <c r="X180" s="203"/>
      <c r="Y180" s="203"/>
      <c r="Z180" s="203"/>
      <c r="AA180" s="203"/>
      <c r="AB180" s="203"/>
      <c r="AC180" s="203"/>
      <c r="AD180" s="205">
        <f>J7</f>
        <v>3</v>
      </c>
      <c r="AE180" s="206" t="str">
        <f>IF(AD180=1,"Simples",IF(AD180=2,"Lucro Real",IF(AD180=3,"Lucro presumido","Informar regime")))</f>
        <v>Lucro presumido</v>
      </c>
      <c r="AF180" s="207">
        <f>TRUNC(AF179/J8,2)</f>
        <v>8112.39</v>
      </c>
    </row>
    <row r="181" spans="2:32" ht="13.5" thickBot="1">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c r="AA181" s="72"/>
      <c r="AB181" s="72"/>
      <c r="AC181" s="72"/>
      <c r="AD181" s="72"/>
      <c r="AE181" s="72"/>
      <c r="AF181" s="73"/>
    </row>
    <row r="182" spans="2:32" ht="21" customHeight="1">
      <c r="B182" s="208" t="s">
        <v>291</v>
      </c>
      <c r="C182" s="209"/>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10"/>
    </row>
    <row r="183" spans="2:32" ht="16.5" customHeight="1">
      <c r="B183" s="361" t="s">
        <v>412</v>
      </c>
      <c r="C183" s="362"/>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3"/>
    </row>
    <row r="184" spans="2:32" ht="16.5" customHeight="1">
      <c r="B184" s="364"/>
      <c r="C184" s="365"/>
      <c r="D184" s="365"/>
      <c r="E184" s="365"/>
      <c r="F184" s="365"/>
      <c r="G184" s="365"/>
      <c r="H184" s="365"/>
      <c r="I184" s="365"/>
      <c r="J184" s="365"/>
      <c r="K184" s="365"/>
      <c r="L184" s="365"/>
      <c r="M184" s="365"/>
      <c r="N184" s="365"/>
      <c r="O184" s="365"/>
      <c r="P184" s="365"/>
      <c r="Q184" s="365"/>
      <c r="R184" s="365"/>
      <c r="S184" s="365"/>
      <c r="T184" s="365"/>
      <c r="U184" s="365"/>
      <c r="V184" s="365"/>
      <c r="W184" s="365"/>
      <c r="X184" s="365"/>
      <c r="Y184" s="365"/>
      <c r="Z184" s="365"/>
      <c r="AA184" s="365"/>
      <c r="AB184" s="365"/>
      <c r="AC184" s="365"/>
      <c r="AD184" s="365"/>
      <c r="AE184" s="365"/>
      <c r="AF184" s="366"/>
    </row>
    <row r="185" spans="2:32" ht="16.5" customHeight="1" thickBot="1">
      <c r="B185" s="367"/>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9"/>
    </row>
  </sheetData>
  <sheetProtection selectLockedCells="1" selectUnlockedCells="1"/>
  <mergeCells count="244">
    <mergeCell ref="B168:D168"/>
    <mergeCell ref="E168:AD168"/>
    <mergeCell ref="B169:AD169"/>
    <mergeCell ref="B176:AD176"/>
    <mergeCell ref="B177:AD177"/>
    <mergeCell ref="B2:AF3"/>
    <mergeCell ref="AH2:AH3"/>
    <mergeCell ref="B33:AF33"/>
    <mergeCell ref="B160:AF160"/>
    <mergeCell ref="B132:AF132"/>
    <mergeCell ref="B117:AF117"/>
    <mergeCell ref="B95:AF95"/>
    <mergeCell ref="B84:AF84"/>
    <mergeCell ref="B44:AF44"/>
    <mergeCell ref="E153:AD153"/>
    <mergeCell ref="E154:AD154"/>
    <mergeCell ref="E155:AD155"/>
    <mergeCell ref="E156:AD156"/>
    <mergeCell ref="E157:AD157"/>
    <mergeCell ref="E152:AD152"/>
    <mergeCell ref="B119:D119"/>
    <mergeCell ref="E119:AD119"/>
    <mergeCell ref="B120:D120"/>
    <mergeCell ref="E120:AD120"/>
    <mergeCell ref="B163:D163"/>
    <mergeCell ref="E163:AD163"/>
    <mergeCell ref="B164:D164"/>
    <mergeCell ref="E164:AD164"/>
    <mergeCell ref="B165:D165"/>
    <mergeCell ref="E165:AD165"/>
    <mergeCell ref="B166:D166"/>
    <mergeCell ref="E166:AD166"/>
    <mergeCell ref="B167:AD167"/>
    <mergeCell ref="B161:AD161"/>
    <mergeCell ref="B162:D162"/>
    <mergeCell ref="E162:AD162"/>
    <mergeCell ref="B134:D134"/>
    <mergeCell ref="E134:AD134"/>
    <mergeCell ref="B135:D135"/>
    <mergeCell ref="E135:AD135"/>
    <mergeCell ref="B136:D136"/>
    <mergeCell ref="E136:AD136"/>
    <mergeCell ref="B137:D157"/>
    <mergeCell ref="E137:AD137"/>
    <mergeCell ref="E138:AD138"/>
    <mergeCell ref="E139:AD139"/>
    <mergeCell ref="E140:AD140"/>
    <mergeCell ref="E142:AD142"/>
    <mergeCell ref="E143:AD143"/>
    <mergeCell ref="E144:AD144"/>
    <mergeCell ref="E145:AD145"/>
    <mergeCell ref="E146:AD146"/>
    <mergeCell ref="E147:AD147"/>
    <mergeCell ref="E148:AD148"/>
    <mergeCell ref="E149:AD149"/>
    <mergeCell ref="E150:AD150"/>
    <mergeCell ref="E151:AD151"/>
    <mergeCell ref="E129:G129"/>
    <mergeCell ref="H129:AD129"/>
    <mergeCell ref="B110:AD110"/>
    <mergeCell ref="B113:D113"/>
    <mergeCell ref="E113:AD113"/>
    <mergeCell ref="B114:D114"/>
    <mergeCell ref="E114:AD114"/>
    <mergeCell ref="B115:AD115"/>
    <mergeCell ref="B128:D128"/>
    <mergeCell ref="B125:D125"/>
    <mergeCell ref="B124:D124"/>
    <mergeCell ref="B123:D123"/>
    <mergeCell ref="E123:AD123"/>
    <mergeCell ref="E124:AD124"/>
    <mergeCell ref="E125:AD125"/>
    <mergeCell ref="B121:D121"/>
    <mergeCell ref="E121:AD121"/>
    <mergeCell ref="B122:D122"/>
    <mergeCell ref="E122:AD122"/>
    <mergeCell ref="B129:D129"/>
    <mergeCell ref="E128:AD128"/>
    <mergeCell ref="B127:D127"/>
    <mergeCell ref="E127:AD127"/>
    <mergeCell ref="B126:D126"/>
    <mergeCell ref="B103:D103"/>
    <mergeCell ref="E103:AC103"/>
    <mergeCell ref="B104:D104"/>
    <mergeCell ref="S104:AC104"/>
    <mergeCell ref="B105:AD105"/>
    <mergeCell ref="AE107:AF107"/>
    <mergeCell ref="B108:D108"/>
    <mergeCell ref="B109:D109"/>
    <mergeCell ref="E109:AD109"/>
    <mergeCell ref="B98:D98"/>
    <mergeCell ref="B99:D99"/>
    <mergeCell ref="E99:AC99"/>
    <mergeCell ref="B100:D100"/>
    <mergeCell ref="E100:AC100"/>
    <mergeCell ref="B101:D101"/>
    <mergeCell ref="E101:AC101"/>
    <mergeCell ref="B102:D102"/>
    <mergeCell ref="E102:AC102"/>
    <mergeCell ref="B90:D90"/>
    <mergeCell ref="E90:AC90"/>
    <mergeCell ref="B91:D91"/>
    <mergeCell ref="E91:AD91"/>
    <mergeCell ref="B92:D92"/>
    <mergeCell ref="E92:AD92"/>
    <mergeCell ref="B93:AD93"/>
    <mergeCell ref="B82:AD82"/>
    <mergeCell ref="B86:D86"/>
    <mergeCell ref="B87:D87"/>
    <mergeCell ref="E87:AC87"/>
    <mergeCell ref="B88:D88"/>
    <mergeCell ref="E88:AD88"/>
    <mergeCell ref="B89:D89"/>
    <mergeCell ref="E89:AD89"/>
    <mergeCell ref="AE77:AF77"/>
    <mergeCell ref="B78:D78"/>
    <mergeCell ref="E78:AD78"/>
    <mergeCell ref="B79:D79"/>
    <mergeCell ref="E79:AD79"/>
    <mergeCell ref="B80:D80"/>
    <mergeCell ref="E80:AD80"/>
    <mergeCell ref="B81:D81"/>
    <mergeCell ref="E81:AD81"/>
    <mergeCell ref="B71:D71"/>
    <mergeCell ref="E71:AD71"/>
    <mergeCell ref="B72:D72"/>
    <mergeCell ref="E72:AD72"/>
    <mergeCell ref="B73:D73"/>
    <mergeCell ref="E73:AD73"/>
    <mergeCell ref="B74:D74"/>
    <mergeCell ref="E74:G74"/>
    <mergeCell ref="H74:AD74"/>
    <mergeCell ref="AE65:AF65"/>
    <mergeCell ref="B66:D66"/>
    <mergeCell ref="E66:AD66"/>
    <mergeCell ref="B67:D68"/>
    <mergeCell ref="E67:AC68"/>
    <mergeCell ref="AF67:AF68"/>
    <mergeCell ref="B69:D70"/>
    <mergeCell ref="E69:AC70"/>
    <mergeCell ref="AF69:AF70"/>
    <mergeCell ref="B58:D58"/>
    <mergeCell ref="E58:AD58"/>
    <mergeCell ref="B59:D59"/>
    <mergeCell ref="E59:AD59"/>
    <mergeCell ref="B60:D60"/>
    <mergeCell ref="E60:AD60"/>
    <mergeCell ref="B62:D62"/>
    <mergeCell ref="E61:AD61"/>
    <mergeCell ref="B63:AD63"/>
    <mergeCell ref="E62:K62"/>
    <mergeCell ref="L62:AD62"/>
    <mergeCell ref="B61:D61"/>
    <mergeCell ref="B54:D54"/>
    <mergeCell ref="E54:F54"/>
    <mergeCell ref="G54:AC54"/>
    <mergeCell ref="B55:D55"/>
    <mergeCell ref="E55:AD55"/>
    <mergeCell ref="B56:D56"/>
    <mergeCell ref="E56:AD56"/>
    <mergeCell ref="B57:D57"/>
    <mergeCell ref="E57:AD57"/>
    <mergeCell ref="B47:D47"/>
    <mergeCell ref="E47:AD47"/>
    <mergeCell ref="B48:D48"/>
    <mergeCell ref="E48:AD48"/>
    <mergeCell ref="B49:D49"/>
    <mergeCell ref="E49:AD49"/>
    <mergeCell ref="B50:AD50"/>
    <mergeCell ref="B53:D53"/>
    <mergeCell ref="E53:AD53"/>
    <mergeCell ref="B39:D39"/>
    <mergeCell ref="B40:D40"/>
    <mergeCell ref="E40:AC40"/>
    <mergeCell ref="B41:D41"/>
    <mergeCell ref="E41:K41"/>
    <mergeCell ref="L41:AD41"/>
    <mergeCell ref="AE46:AF46"/>
    <mergeCell ref="B35:D35"/>
    <mergeCell ref="E35:AD35"/>
    <mergeCell ref="B36:D36"/>
    <mergeCell ref="E36:AD36"/>
    <mergeCell ref="B37:D37"/>
    <mergeCell ref="B38:D38"/>
    <mergeCell ref="E38:AC38"/>
    <mergeCell ref="E28:AD28"/>
    <mergeCell ref="AE28:AF28"/>
    <mergeCell ref="B29:D29"/>
    <mergeCell ref="E29:AD29"/>
    <mergeCell ref="AE29:AF29"/>
    <mergeCell ref="B30:D30"/>
    <mergeCell ref="E30:AD30"/>
    <mergeCell ref="AE30:AF30"/>
    <mergeCell ref="B31:D31"/>
    <mergeCell ref="E31:AD31"/>
    <mergeCell ref="AE31:AF31"/>
    <mergeCell ref="AG28:AJ28"/>
    <mergeCell ref="AG67:AJ74"/>
    <mergeCell ref="AG54:AK62"/>
    <mergeCell ref="AG37:AK38"/>
    <mergeCell ref="AG13:AJ13"/>
    <mergeCell ref="B5:I5"/>
    <mergeCell ref="AE5:AF5"/>
    <mergeCell ref="B7:I7"/>
    <mergeCell ref="K7:Q7"/>
    <mergeCell ref="AE7:AF7"/>
    <mergeCell ref="B8:I8"/>
    <mergeCell ref="J8:Q8"/>
    <mergeCell ref="AE8:AF8"/>
    <mergeCell ref="B10:AF10"/>
    <mergeCell ref="B11:D11"/>
    <mergeCell ref="AE11:AF11"/>
    <mergeCell ref="B12:D12"/>
    <mergeCell ref="AE12:AF12"/>
    <mergeCell ref="B13:D13"/>
    <mergeCell ref="AE13:AF13"/>
    <mergeCell ref="B14:D14"/>
    <mergeCell ref="AE14:AF14"/>
    <mergeCell ref="B16:AF16"/>
    <mergeCell ref="AE17:AF17"/>
    <mergeCell ref="E126:AD126"/>
    <mergeCell ref="B183:AF185"/>
    <mergeCell ref="J5:AB5"/>
    <mergeCell ref="AB8:AD8"/>
    <mergeCell ref="AB7:AD7"/>
    <mergeCell ref="B19:W21"/>
    <mergeCell ref="B18:W18"/>
    <mergeCell ref="X18:AD18"/>
    <mergeCell ref="AE18:AF18"/>
    <mergeCell ref="X19:AD19"/>
    <mergeCell ref="AE19:AF19"/>
    <mergeCell ref="X21:AD21"/>
    <mergeCell ref="AE21:AF21"/>
    <mergeCell ref="X20:AD20"/>
    <mergeCell ref="AE20:AF20"/>
    <mergeCell ref="B23:AD24"/>
    <mergeCell ref="AE23:AF25"/>
    <mergeCell ref="B26:D26"/>
    <mergeCell ref="E26:AD26"/>
    <mergeCell ref="AE26:AF26"/>
    <mergeCell ref="B27:D27"/>
    <mergeCell ref="E27:AD27"/>
    <mergeCell ref="AE27:AF27"/>
    <mergeCell ref="B28:D28"/>
  </mergeCells>
  <conditionalFormatting sqref="AE36">
    <cfRule type="expression" dxfId="3" priority="1" stopIfTrue="1">
      <formula>AF36&lt;AE28</formula>
    </cfRule>
  </conditionalFormatting>
  <printOptions horizontalCentered="1"/>
  <pageMargins left="0.59027777777777779" right="0.59027777777777779" top="0.59027777777777779" bottom="0.59027777777777779" header="0.51181102362204722" footer="0.51181102362204722"/>
  <pageSetup paperSize="8" scale="62" firstPageNumber="0" orientation="landscape" horizontalDpi="300" verticalDpi="300" r:id="rId1"/>
  <headerFooter alignWithMargins="0"/>
  <rowBreaks count="2" manualBreakCount="2">
    <brk id="63" max="16383" man="1"/>
    <brk id="130" max="16383" man="1"/>
  </rowBreaks>
  <ignoredErrors>
    <ignoredError sqref="AE11 AF120:AF128 AE20 AE69" unlockedFormula="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61771-549F-44E7-9ABE-6FE30B5A91D2}">
  <sheetPr>
    <tabColor indexed="17"/>
  </sheetPr>
  <dimension ref="A1:BE185"/>
  <sheetViews>
    <sheetView showGridLines="0" topLeftCell="K94" zoomScaleNormal="100" workbookViewId="0">
      <selection activeCell="AF125" sqref="AF125"/>
    </sheetView>
  </sheetViews>
  <sheetFormatPr defaultColWidth="1.85546875" defaultRowHeight="12.75"/>
  <cols>
    <col min="1" max="1" width="1.85546875" style="1"/>
    <col min="2" max="2" width="4" style="1" customWidth="1"/>
    <col min="3" max="3" width="2" style="1" customWidth="1"/>
    <col min="4" max="4" width="2" style="2" customWidth="1"/>
    <col min="5" max="9" width="2.5703125" style="1" customWidth="1"/>
    <col min="10" max="10" width="3.140625" style="1" customWidth="1"/>
    <col min="11" max="13" width="2.5703125" style="1" customWidth="1"/>
    <col min="14" max="14" width="4.140625" style="1" customWidth="1"/>
    <col min="15" max="16" width="2.5703125" style="1" customWidth="1"/>
    <col min="17" max="17" width="4.28515625" style="1" customWidth="1"/>
    <col min="18" max="22" width="2.5703125" style="1" customWidth="1"/>
    <col min="23" max="23" width="3.42578125" style="1" customWidth="1"/>
    <col min="24" max="27" width="2.5703125" style="1" customWidth="1"/>
    <col min="28" max="28" width="3.85546875" style="1" customWidth="1"/>
    <col min="29" max="29" width="7.5703125" style="1" customWidth="1"/>
    <col min="30" max="30" width="11.28515625" style="1" customWidth="1"/>
    <col min="31" max="32" width="15.7109375" style="1" customWidth="1"/>
    <col min="33" max="33" width="8.85546875" style="1" customWidth="1"/>
    <col min="34" max="34" width="9.42578125" style="1" customWidth="1"/>
    <col min="35" max="35" width="21.85546875" style="1" customWidth="1"/>
    <col min="36" max="36" width="5.42578125" style="1" customWidth="1"/>
    <col min="37" max="37" width="16.42578125" style="1" customWidth="1"/>
    <col min="38" max="62" width="5.42578125" style="1" customWidth="1"/>
    <col min="63" max="16384" width="1.85546875" style="1"/>
  </cols>
  <sheetData>
    <row r="1" spans="1:35" ht="13.5" thickBot="1">
      <c r="A1" s="1" t="s">
        <v>363</v>
      </c>
    </row>
    <row r="2" spans="1:35" ht="18.75" customHeight="1">
      <c r="B2" s="532" t="s">
        <v>413</v>
      </c>
      <c r="C2" s="533"/>
      <c r="D2" s="533"/>
      <c r="E2" s="533"/>
      <c r="F2" s="533"/>
      <c r="G2" s="533"/>
      <c r="H2" s="533"/>
      <c r="I2" s="533"/>
      <c r="J2" s="533"/>
      <c r="K2" s="533"/>
      <c r="L2" s="533"/>
      <c r="M2" s="533"/>
      <c r="N2" s="533"/>
      <c r="O2" s="533"/>
      <c r="P2" s="533"/>
      <c r="Q2" s="533"/>
      <c r="R2" s="533"/>
      <c r="S2" s="533"/>
      <c r="T2" s="533"/>
      <c r="U2" s="533"/>
      <c r="V2" s="533"/>
      <c r="W2" s="533"/>
      <c r="X2" s="533"/>
      <c r="Y2" s="533"/>
      <c r="Z2" s="533"/>
      <c r="AA2" s="533"/>
      <c r="AB2" s="533"/>
      <c r="AC2" s="533"/>
      <c r="AD2" s="533"/>
      <c r="AE2" s="533"/>
      <c r="AF2" s="534"/>
      <c r="AH2" s="517" t="s">
        <v>344</v>
      </c>
      <c r="AI2" s="102" t="s">
        <v>343</v>
      </c>
    </row>
    <row r="3" spans="1:35" ht="18.75" customHeight="1" thickBot="1">
      <c r="B3" s="535"/>
      <c r="C3" s="536"/>
      <c r="D3" s="536"/>
      <c r="E3" s="536"/>
      <c r="F3" s="536"/>
      <c r="G3" s="536"/>
      <c r="H3" s="536"/>
      <c r="I3" s="536"/>
      <c r="J3" s="536"/>
      <c r="K3" s="536"/>
      <c r="L3" s="536"/>
      <c r="M3" s="536"/>
      <c r="N3" s="536"/>
      <c r="O3" s="536"/>
      <c r="P3" s="536"/>
      <c r="Q3" s="536"/>
      <c r="R3" s="536"/>
      <c r="S3" s="536"/>
      <c r="T3" s="536"/>
      <c r="U3" s="536"/>
      <c r="V3" s="536"/>
      <c r="W3" s="536"/>
      <c r="X3" s="536"/>
      <c r="Y3" s="536"/>
      <c r="Z3" s="536"/>
      <c r="AA3" s="536"/>
      <c r="AB3" s="536"/>
      <c r="AC3" s="536"/>
      <c r="AD3" s="536"/>
      <c r="AE3" s="536"/>
      <c r="AF3" s="537"/>
      <c r="AH3" s="517"/>
      <c r="AI3" s="103" t="s">
        <v>345</v>
      </c>
    </row>
    <row r="4" spans="1:35" ht="13.5" thickBot="1"/>
    <row r="5" spans="1:35" ht="31.5" customHeight="1" thickBot="1">
      <c r="B5" s="433" t="s">
        <v>190</v>
      </c>
      <c r="C5" s="434"/>
      <c r="D5" s="434"/>
      <c r="E5" s="434"/>
      <c r="F5" s="434"/>
      <c r="G5" s="434"/>
      <c r="H5" s="434"/>
      <c r="I5" s="435"/>
      <c r="J5" s="538" t="str">
        <f>'II. PCFP Vigilante Diurno'!J5</f>
        <v>( ? )</v>
      </c>
      <c r="K5" s="539"/>
      <c r="L5" s="539"/>
      <c r="M5" s="539"/>
      <c r="N5" s="539"/>
      <c r="O5" s="539"/>
      <c r="P5" s="539"/>
      <c r="Q5" s="539"/>
      <c r="R5" s="539"/>
      <c r="S5" s="539"/>
      <c r="T5" s="539"/>
      <c r="U5" s="539"/>
      <c r="V5" s="539"/>
      <c r="W5" s="539"/>
      <c r="X5" s="539"/>
      <c r="Y5" s="539"/>
      <c r="Z5" s="539"/>
      <c r="AA5" s="539"/>
      <c r="AB5" s="540"/>
      <c r="AD5" s="256" t="s">
        <v>191</v>
      </c>
      <c r="AE5" s="541" t="str">
        <f>'II. PCFP Vigilante Diurno'!AE5</f>
        <v>( ? )</v>
      </c>
      <c r="AF5" s="542"/>
    </row>
    <row r="6" spans="1:35" ht="13.5" thickBot="1"/>
    <row r="7" spans="1:35" ht="16.5" customHeight="1">
      <c r="B7" s="438" t="s">
        <v>2</v>
      </c>
      <c r="C7" s="377"/>
      <c r="D7" s="377"/>
      <c r="E7" s="377"/>
      <c r="F7" s="377"/>
      <c r="G7" s="377"/>
      <c r="H7" s="377"/>
      <c r="I7" s="378"/>
      <c r="J7" s="257">
        <v>3</v>
      </c>
      <c r="K7" s="439" t="str">
        <f>IF(J7=1,"Simples Nacional",IF(J7=2,"Lucro Real",IF(J7=3,"Lucro Presumido","Digite 1, 2 ou 3")))</f>
        <v>Lucro Presumido</v>
      </c>
      <c r="L7" s="440"/>
      <c r="M7" s="440"/>
      <c r="N7" s="440"/>
      <c r="O7" s="440"/>
      <c r="P7" s="441"/>
      <c r="Q7" s="442"/>
      <c r="AB7" s="376" t="s">
        <v>369</v>
      </c>
      <c r="AC7" s="377"/>
      <c r="AD7" s="378"/>
      <c r="AE7" s="443">
        <f>'II. PCFP Vigilante Diurno'!AE7</f>
        <v>1000000303</v>
      </c>
      <c r="AF7" s="444"/>
    </row>
    <row r="8" spans="1:35" ht="16.5" customHeight="1" thickBot="1">
      <c r="B8" s="445" t="s">
        <v>4</v>
      </c>
      <c r="C8" s="374"/>
      <c r="D8" s="374"/>
      <c r="E8" s="374"/>
      <c r="F8" s="374"/>
      <c r="G8" s="374"/>
      <c r="H8" s="374"/>
      <c r="I8" s="375"/>
      <c r="J8" s="446">
        <f>1-AE137</f>
        <v>0.91349999999999998</v>
      </c>
      <c r="K8" s="447"/>
      <c r="L8" s="448"/>
      <c r="M8" s="448"/>
      <c r="N8" s="448"/>
      <c r="O8" s="448"/>
      <c r="P8" s="447"/>
      <c r="Q8" s="449"/>
      <c r="AB8" s="373" t="s">
        <v>192</v>
      </c>
      <c r="AC8" s="374"/>
      <c r="AD8" s="375"/>
      <c r="AE8" s="528" t="str">
        <f>'II. PCFP Vigilante Diurno'!AE8</f>
        <v>303/2025</v>
      </c>
      <c r="AF8" s="529"/>
    </row>
    <row r="9" spans="1:35" ht="13.5" thickBot="1"/>
    <row r="10" spans="1:35" ht="17.25" customHeight="1">
      <c r="B10" s="450" t="s">
        <v>6</v>
      </c>
      <c r="C10" s="451"/>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2"/>
    </row>
    <row r="11" spans="1:35" ht="17.25" customHeight="1">
      <c r="B11" s="416" t="s">
        <v>7</v>
      </c>
      <c r="C11" s="417"/>
      <c r="D11" s="418"/>
      <c r="E11" s="53" t="s">
        <v>8</v>
      </c>
      <c r="F11" s="4"/>
      <c r="G11" s="4"/>
      <c r="H11" s="4"/>
      <c r="I11" s="4"/>
      <c r="J11" s="4"/>
      <c r="K11" s="4"/>
      <c r="L11" s="4"/>
      <c r="M11" s="4"/>
      <c r="N11" s="4"/>
      <c r="O11" s="4"/>
      <c r="P11" s="4"/>
      <c r="Q11" s="4"/>
      <c r="R11" s="4"/>
      <c r="S11" s="4"/>
      <c r="T11" s="4"/>
      <c r="U11" s="4"/>
      <c r="V11" s="4"/>
      <c r="W11" s="4"/>
      <c r="X11" s="4"/>
      <c r="Y11" s="4"/>
      <c r="Z11" s="4"/>
      <c r="AA11" s="4"/>
      <c r="AB11" s="4"/>
      <c r="AC11" s="4"/>
      <c r="AD11" s="4"/>
      <c r="AE11" s="530">
        <f ca="1">'II. PCFP Vigilante Diurno'!AE11</f>
        <v>46001</v>
      </c>
      <c r="AF11" s="531"/>
    </row>
    <row r="12" spans="1:35" ht="17.25" customHeight="1">
      <c r="B12" s="416" t="s">
        <v>9</v>
      </c>
      <c r="C12" s="417"/>
      <c r="D12" s="418"/>
      <c r="E12" s="53" t="s">
        <v>10</v>
      </c>
      <c r="F12" s="4"/>
      <c r="G12" s="4"/>
      <c r="H12" s="4"/>
      <c r="I12" s="4"/>
      <c r="J12" s="4"/>
      <c r="K12" s="4"/>
      <c r="L12" s="4"/>
      <c r="M12" s="4"/>
      <c r="N12" s="4"/>
      <c r="O12" s="4"/>
      <c r="P12" s="4"/>
      <c r="Q12" s="4"/>
      <c r="R12" s="4"/>
      <c r="S12" s="4"/>
      <c r="T12" s="4"/>
      <c r="U12" s="4"/>
      <c r="V12" s="4"/>
      <c r="W12" s="4"/>
      <c r="X12" s="4"/>
      <c r="Y12" s="4"/>
      <c r="Z12" s="4"/>
      <c r="AA12" s="4"/>
      <c r="AB12" s="4"/>
      <c r="AC12" s="4"/>
      <c r="AD12" s="4"/>
      <c r="AE12" s="455" t="str">
        <f>'II. PCFP Vigilante Diurno'!AE12</f>
        <v>Paranaguá/PR</v>
      </c>
      <c r="AF12" s="456"/>
    </row>
    <row r="13" spans="1:35" ht="17.25" customHeight="1">
      <c r="B13" s="416" t="s">
        <v>11</v>
      </c>
      <c r="C13" s="417"/>
      <c r="D13" s="418"/>
      <c r="E13" s="53" t="s">
        <v>12</v>
      </c>
      <c r="F13" s="4"/>
      <c r="G13" s="4"/>
      <c r="H13" s="4"/>
      <c r="I13" s="4"/>
      <c r="J13" s="4"/>
      <c r="K13" s="4"/>
      <c r="L13" s="4"/>
      <c r="M13" s="4"/>
      <c r="N13" s="4"/>
      <c r="O13" s="4"/>
      <c r="P13" s="4"/>
      <c r="Q13" s="4"/>
      <c r="R13" s="4"/>
      <c r="S13" s="4"/>
      <c r="T13" s="4"/>
      <c r="U13" s="4"/>
      <c r="V13" s="4"/>
      <c r="W13" s="4"/>
      <c r="X13" s="4"/>
      <c r="Y13" s="4"/>
      <c r="Z13" s="4"/>
      <c r="AA13" s="4"/>
      <c r="AB13" s="4"/>
      <c r="AC13" s="4"/>
      <c r="AD13" s="260" t="str">
        <f>'II. PCFP Vigilante Diurno'!AD13</f>
        <v>CCT</v>
      </c>
      <c r="AE13" s="524" t="str">
        <f>'II. PCFP Vigilante Diurno'!AE13</f>
        <v>PR000353/2024</v>
      </c>
      <c r="AF13" s="525"/>
      <c r="AH13" s="143"/>
    </row>
    <row r="14" spans="1:35" ht="17.25" customHeight="1" thickBot="1">
      <c r="B14" s="373" t="s">
        <v>13</v>
      </c>
      <c r="C14" s="374"/>
      <c r="D14" s="375"/>
      <c r="E14" s="110" t="s">
        <v>14</v>
      </c>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526">
        <f>'II. PCFP Vigilante Diurno'!AE14</f>
        <v>30</v>
      </c>
      <c r="AF14" s="527"/>
    </row>
    <row r="15" spans="1:35" ht="13.5" thickBot="1">
      <c r="B15" s="54"/>
      <c r="C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row>
    <row r="16" spans="1:35" ht="16.5" customHeight="1">
      <c r="B16" s="450" t="s">
        <v>15</v>
      </c>
      <c r="C16" s="451"/>
      <c r="D16" s="451"/>
      <c r="E16" s="451"/>
      <c r="F16" s="451"/>
      <c r="G16" s="451"/>
      <c r="H16" s="451"/>
      <c r="I16" s="451"/>
      <c r="J16" s="451"/>
      <c r="K16" s="451"/>
      <c r="L16" s="451"/>
      <c r="M16" s="451"/>
      <c r="N16" s="451"/>
      <c r="O16" s="451"/>
      <c r="P16" s="451"/>
      <c r="Q16" s="451"/>
      <c r="R16" s="451"/>
      <c r="S16" s="451"/>
      <c r="T16" s="451"/>
      <c r="U16" s="451"/>
      <c r="V16" s="451"/>
      <c r="W16" s="451"/>
      <c r="X16" s="451"/>
      <c r="Y16" s="451"/>
      <c r="Z16" s="451"/>
      <c r="AA16" s="451"/>
      <c r="AB16" s="451"/>
      <c r="AC16" s="451"/>
      <c r="AD16" s="451"/>
      <c r="AE16" s="451"/>
      <c r="AF16" s="452"/>
    </row>
    <row r="17" spans="2:36" ht="15.75" customHeight="1">
      <c r="B17" s="255" t="s">
        <v>16</v>
      </c>
      <c r="C17" s="78"/>
      <c r="D17" s="78"/>
      <c r="E17" s="258"/>
      <c r="F17" s="78"/>
      <c r="G17" s="78"/>
      <c r="H17" s="78"/>
      <c r="I17" s="78"/>
      <c r="J17" s="78"/>
      <c r="K17" s="78"/>
      <c r="L17" s="78"/>
      <c r="M17" s="78"/>
      <c r="N17" s="78"/>
      <c r="O17" s="78"/>
      <c r="P17" s="78"/>
      <c r="Q17" s="78"/>
      <c r="R17" s="78"/>
      <c r="S17" s="78"/>
      <c r="T17" s="78"/>
      <c r="U17" s="78"/>
      <c r="V17" s="78"/>
      <c r="W17" s="79"/>
      <c r="X17" s="77" t="s">
        <v>17</v>
      </c>
      <c r="Y17" s="80"/>
      <c r="Z17" s="80"/>
      <c r="AA17" s="80"/>
      <c r="AB17" s="80"/>
      <c r="AC17" s="80"/>
      <c r="AD17" s="81"/>
      <c r="AE17" s="461" t="s">
        <v>194</v>
      </c>
      <c r="AF17" s="462"/>
    </row>
    <row r="18" spans="2:36" s="6" customFormat="1" ht="24.75" customHeight="1">
      <c r="B18" s="388" t="s">
        <v>414</v>
      </c>
      <c r="C18" s="389"/>
      <c r="D18" s="389"/>
      <c r="E18" s="389"/>
      <c r="F18" s="389"/>
      <c r="G18" s="389"/>
      <c r="H18" s="389"/>
      <c r="I18" s="389"/>
      <c r="J18" s="389"/>
      <c r="K18" s="389"/>
      <c r="L18" s="390"/>
      <c r="M18" s="390"/>
      <c r="N18" s="390"/>
      <c r="O18" s="390"/>
      <c r="P18" s="389"/>
      <c r="Q18" s="389"/>
      <c r="R18" s="389"/>
      <c r="S18" s="389"/>
      <c r="T18" s="389"/>
      <c r="U18" s="389"/>
      <c r="V18" s="389"/>
      <c r="W18" s="391"/>
      <c r="X18" s="392" t="s">
        <v>195</v>
      </c>
      <c r="Y18" s="393"/>
      <c r="Z18" s="393"/>
      <c r="AA18" s="393"/>
      <c r="AB18" s="393"/>
      <c r="AC18" s="393"/>
      <c r="AD18" s="394"/>
      <c r="AE18" s="395">
        <v>2</v>
      </c>
      <c r="AF18" s="396"/>
    </row>
    <row r="19" spans="2:36" s="6" customFormat="1" ht="21" customHeight="1">
      <c r="B19" s="379" t="s">
        <v>196</v>
      </c>
      <c r="C19" s="380"/>
      <c r="D19" s="380"/>
      <c r="E19" s="380"/>
      <c r="F19" s="380"/>
      <c r="G19" s="380"/>
      <c r="H19" s="380"/>
      <c r="I19" s="380"/>
      <c r="J19" s="380"/>
      <c r="K19" s="380"/>
      <c r="L19" s="380"/>
      <c r="M19" s="380"/>
      <c r="N19" s="380"/>
      <c r="O19" s="380"/>
      <c r="P19" s="380"/>
      <c r="Q19" s="380"/>
      <c r="R19" s="380"/>
      <c r="S19" s="380"/>
      <c r="T19" s="380"/>
      <c r="U19" s="380"/>
      <c r="V19" s="380"/>
      <c r="W19" s="381"/>
      <c r="X19" s="392" t="s">
        <v>364</v>
      </c>
      <c r="Y19" s="393"/>
      <c r="Z19" s="393"/>
      <c r="AA19" s="393"/>
      <c r="AB19" s="393"/>
      <c r="AC19" s="393"/>
      <c r="AD19" s="394"/>
      <c r="AE19" s="397">
        <v>31</v>
      </c>
      <c r="AF19" s="398"/>
    </row>
    <row r="20" spans="2:36" s="6" customFormat="1" ht="21" customHeight="1">
      <c r="B20" s="382"/>
      <c r="C20" s="383"/>
      <c r="D20" s="383"/>
      <c r="E20" s="383"/>
      <c r="F20" s="383"/>
      <c r="G20" s="383"/>
      <c r="H20" s="383"/>
      <c r="I20" s="383"/>
      <c r="J20" s="383"/>
      <c r="K20" s="383"/>
      <c r="L20" s="383"/>
      <c r="M20" s="383"/>
      <c r="N20" s="383"/>
      <c r="O20" s="383"/>
      <c r="P20" s="383"/>
      <c r="Q20" s="383"/>
      <c r="R20" s="383"/>
      <c r="S20" s="383"/>
      <c r="T20" s="383"/>
      <c r="U20" s="383"/>
      <c r="V20" s="383"/>
      <c r="W20" s="384"/>
      <c r="X20" s="392" t="s">
        <v>365</v>
      </c>
      <c r="Y20" s="393"/>
      <c r="Z20" s="393"/>
      <c r="AA20" s="393"/>
      <c r="AB20" s="393"/>
      <c r="AC20" s="393"/>
      <c r="AD20" s="394"/>
      <c r="AE20" s="397">
        <f>AE18*AE19</f>
        <v>62</v>
      </c>
      <c r="AF20" s="398"/>
    </row>
    <row r="21" spans="2:36" s="6" customFormat="1" ht="16.5" customHeight="1" thickBot="1">
      <c r="B21" s="385"/>
      <c r="C21" s="386"/>
      <c r="D21" s="386"/>
      <c r="E21" s="386"/>
      <c r="F21" s="386"/>
      <c r="G21" s="386"/>
      <c r="H21" s="386"/>
      <c r="I21" s="386"/>
      <c r="J21" s="386"/>
      <c r="K21" s="386"/>
      <c r="L21" s="386"/>
      <c r="M21" s="386"/>
      <c r="N21" s="386"/>
      <c r="O21" s="386"/>
      <c r="P21" s="386"/>
      <c r="Q21" s="386"/>
      <c r="R21" s="386"/>
      <c r="S21" s="386"/>
      <c r="T21" s="386"/>
      <c r="U21" s="386"/>
      <c r="V21" s="386"/>
      <c r="W21" s="387"/>
      <c r="X21" s="399" t="s">
        <v>197</v>
      </c>
      <c r="Y21" s="400"/>
      <c r="Z21" s="400"/>
      <c r="AA21" s="400"/>
      <c r="AB21" s="400"/>
      <c r="AC21" s="400"/>
      <c r="AD21" s="401"/>
      <c r="AE21" s="402" t="s">
        <v>198</v>
      </c>
      <c r="AF21" s="403"/>
    </row>
    <row r="22" spans="2:36" ht="13.5" thickBot="1"/>
    <row r="23" spans="2:36" ht="12.75" customHeight="1">
      <c r="B23" s="404" t="s">
        <v>22</v>
      </c>
      <c r="C23" s="405"/>
      <c r="D23" s="405"/>
      <c r="E23" s="405"/>
      <c r="F23" s="405"/>
      <c r="G23" s="405"/>
      <c r="H23" s="405"/>
      <c r="I23" s="405"/>
      <c r="J23" s="405"/>
      <c r="K23" s="405"/>
      <c r="L23" s="405"/>
      <c r="M23" s="405"/>
      <c r="N23" s="405"/>
      <c r="O23" s="405"/>
      <c r="P23" s="405"/>
      <c r="Q23" s="405"/>
      <c r="R23" s="405"/>
      <c r="S23" s="405"/>
      <c r="T23" s="405"/>
      <c r="U23" s="405"/>
      <c r="V23" s="405"/>
      <c r="W23" s="405"/>
      <c r="X23" s="405"/>
      <c r="Y23" s="405"/>
      <c r="Z23" s="405"/>
      <c r="AA23" s="405"/>
      <c r="AB23" s="405"/>
      <c r="AC23" s="405"/>
      <c r="AD23" s="406"/>
      <c r="AE23" s="410" t="s">
        <v>199</v>
      </c>
      <c r="AF23" s="411"/>
    </row>
    <row r="24" spans="2:36" ht="12.75" customHeight="1">
      <c r="B24" s="407"/>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9"/>
      <c r="AE24" s="412"/>
      <c r="AF24" s="413"/>
    </row>
    <row r="25" spans="2:36" ht="20.25" customHeight="1">
      <c r="B25" s="255" t="s">
        <v>23</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414"/>
      <c r="AF25" s="415"/>
    </row>
    <row r="26" spans="2:36" ht="24" customHeight="1">
      <c r="B26" s="416">
        <v>1</v>
      </c>
      <c r="C26" s="417"/>
      <c r="D26" s="418"/>
      <c r="E26" s="419" t="s">
        <v>25</v>
      </c>
      <c r="F26" s="420"/>
      <c r="G26" s="420"/>
      <c r="H26" s="420"/>
      <c r="I26" s="420"/>
      <c r="J26" s="420"/>
      <c r="K26" s="420"/>
      <c r="L26" s="295"/>
      <c r="M26" s="295"/>
      <c r="N26" s="295"/>
      <c r="O26" s="295"/>
      <c r="P26" s="420"/>
      <c r="Q26" s="420"/>
      <c r="R26" s="420"/>
      <c r="S26" s="420"/>
      <c r="T26" s="420"/>
      <c r="U26" s="420"/>
      <c r="V26" s="420"/>
      <c r="W26" s="420"/>
      <c r="X26" s="420"/>
      <c r="Y26" s="420"/>
      <c r="Z26" s="420"/>
      <c r="AA26" s="420"/>
      <c r="AB26" s="420"/>
      <c r="AC26" s="420"/>
      <c r="AD26" s="421"/>
      <c r="AE26" s="422" t="str">
        <f>IF(B18="","",B18)</f>
        <v>VIGILÂNCIA ARMADA – NOTURNO</v>
      </c>
      <c r="AF26" s="423"/>
    </row>
    <row r="27" spans="2:36" ht="26.25" customHeight="1">
      <c r="B27" s="416">
        <v>2</v>
      </c>
      <c r="C27" s="417"/>
      <c r="D27" s="418"/>
      <c r="E27" s="419" t="s">
        <v>200</v>
      </c>
      <c r="F27" s="420"/>
      <c r="G27" s="420"/>
      <c r="H27" s="420"/>
      <c r="I27" s="420"/>
      <c r="J27" s="420"/>
      <c r="K27" s="420"/>
      <c r="L27" s="295"/>
      <c r="M27" s="295"/>
      <c r="N27" s="295"/>
      <c r="O27" s="295"/>
      <c r="P27" s="420"/>
      <c r="Q27" s="420"/>
      <c r="R27" s="420"/>
      <c r="S27" s="420"/>
      <c r="T27" s="420"/>
      <c r="U27" s="420"/>
      <c r="V27" s="420"/>
      <c r="W27" s="420"/>
      <c r="X27" s="420"/>
      <c r="Y27" s="420"/>
      <c r="Z27" s="420"/>
      <c r="AA27" s="420"/>
      <c r="AB27" s="420"/>
      <c r="AC27" s="420"/>
      <c r="AD27" s="421"/>
      <c r="AE27" s="424" t="s">
        <v>201</v>
      </c>
      <c r="AF27" s="425"/>
      <c r="AG27" s="143"/>
    </row>
    <row r="28" spans="2:36" ht="26.25" customHeight="1">
      <c r="B28" s="416">
        <v>3</v>
      </c>
      <c r="C28" s="426"/>
      <c r="D28" s="426"/>
      <c r="E28" s="419" t="s">
        <v>202</v>
      </c>
      <c r="F28" s="420"/>
      <c r="G28" s="420"/>
      <c r="H28" s="420"/>
      <c r="I28" s="420"/>
      <c r="J28" s="420"/>
      <c r="K28" s="420"/>
      <c r="L28" s="295"/>
      <c r="M28" s="295"/>
      <c r="N28" s="295"/>
      <c r="O28" s="295"/>
      <c r="P28" s="420"/>
      <c r="Q28" s="420"/>
      <c r="R28" s="420"/>
      <c r="S28" s="420"/>
      <c r="T28" s="420"/>
      <c r="U28" s="420"/>
      <c r="V28" s="420"/>
      <c r="W28" s="420"/>
      <c r="X28" s="420"/>
      <c r="Y28" s="420"/>
      <c r="Z28" s="420"/>
      <c r="AA28" s="420"/>
      <c r="AB28" s="420"/>
      <c r="AC28" s="420"/>
      <c r="AD28" s="421"/>
      <c r="AE28" s="463">
        <v>2275.73</v>
      </c>
      <c r="AF28" s="464"/>
      <c r="AG28" s="427" t="s">
        <v>322</v>
      </c>
      <c r="AH28" s="427"/>
      <c r="AI28" s="427"/>
      <c r="AJ28" s="427"/>
    </row>
    <row r="29" spans="2:36" ht="26.25" customHeight="1">
      <c r="B29" s="416">
        <v>4</v>
      </c>
      <c r="C29" s="426"/>
      <c r="D29" s="426"/>
      <c r="E29" s="419" t="s">
        <v>27</v>
      </c>
      <c r="F29" s="419"/>
      <c r="G29" s="419"/>
      <c r="H29" s="419"/>
      <c r="I29" s="419"/>
      <c r="J29" s="419"/>
      <c r="K29" s="419"/>
      <c r="L29" s="295"/>
      <c r="M29" s="419"/>
      <c r="N29" s="419"/>
      <c r="O29" s="419"/>
      <c r="P29" s="419"/>
      <c r="Q29" s="419"/>
      <c r="R29" s="419"/>
      <c r="S29" s="419"/>
      <c r="T29" s="419"/>
      <c r="U29" s="419"/>
      <c r="V29" s="419"/>
      <c r="W29" s="419"/>
      <c r="X29" s="419"/>
      <c r="Y29" s="419"/>
      <c r="Z29" s="419"/>
      <c r="AA29" s="419"/>
      <c r="AB29" s="419"/>
      <c r="AC29" s="419"/>
      <c r="AD29" s="419"/>
      <c r="AE29" s="424" t="s">
        <v>419</v>
      </c>
      <c r="AF29" s="425"/>
    </row>
    <row r="30" spans="2:36" ht="26.25" customHeight="1">
      <c r="B30" s="416">
        <v>5</v>
      </c>
      <c r="C30" s="426"/>
      <c r="D30" s="426"/>
      <c r="E30" s="419" t="s">
        <v>28</v>
      </c>
      <c r="F30" s="419"/>
      <c r="G30" s="419"/>
      <c r="H30" s="419"/>
      <c r="I30" s="419"/>
      <c r="J30" s="419"/>
      <c r="K30" s="419"/>
      <c r="L30" s="295"/>
      <c r="M30" s="419"/>
      <c r="N30" s="419"/>
      <c r="O30" s="419"/>
      <c r="P30" s="419"/>
      <c r="Q30" s="419"/>
      <c r="R30" s="419"/>
      <c r="S30" s="419"/>
      <c r="T30" s="419"/>
      <c r="U30" s="419"/>
      <c r="V30" s="419"/>
      <c r="W30" s="419"/>
      <c r="X30" s="419"/>
      <c r="Y30" s="419"/>
      <c r="Z30" s="419"/>
      <c r="AA30" s="419"/>
      <c r="AB30" s="419"/>
      <c r="AC30" s="419"/>
      <c r="AD30" s="419"/>
      <c r="AE30" s="453">
        <v>45323</v>
      </c>
      <c r="AF30" s="454"/>
    </row>
    <row r="31" spans="2:36" ht="26.25" customHeight="1" thickBot="1">
      <c r="B31" s="373">
        <v>6</v>
      </c>
      <c r="C31" s="374"/>
      <c r="D31" s="375"/>
      <c r="E31" s="399" t="s">
        <v>300</v>
      </c>
      <c r="F31" s="400"/>
      <c r="G31" s="400"/>
      <c r="H31" s="400"/>
      <c r="I31" s="400"/>
      <c r="J31" s="400"/>
      <c r="K31" s="400"/>
      <c r="L31" s="465"/>
      <c r="M31" s="465"/>
      <c r="N31" s="465"/>
      <c r="O31" s="465"/>
      <c r="P31" s="400"/>
      <c r="Q31" s="400"/>
      <c r="R31" s="400"/>
      <c r="S31" s="400"/>
      <c r="T31" s="400"/>
      <c r="U31" s="400"/>
      <c r="V31" s="400"/>
      <c r="W31" s="400"/>
      <c r="X31" s="400"/>
      <c r="Y31" s="400"/>
      <c r="Z31" s="400"/>
      <c r="AA31" s="400"/>
      <c r="AB31" s="400"/>
      <c r="AC31" s="400"/>
      <c r="AD31" s="401"/>
      <c r="AE31" s="466">
        <v>1518</v>
      </c>
      <c r="AF31" s="467"/>
      <c r="AG31" s="1" t="s">
        <v>323</v>
      </c>
    </row>
    <row r="32" spans="2:36" s="55" customFormat="1" ht="13.5" thickBot="1">
      <c r="D32" s="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56"/>
      <c r="AF32" s="57"/>
    </row>
    <row r="33" spans="1:37" ht="24" customHeight="1" thickBot="1">
      <c r="B33" s="518" t="s">
        <v>29</v>
      </c>
      <c r="C33" s="519"/>
      <c r="D33" s="519"/>
      <c r="E33" s="519"/>
      <c r="F33" s="519"/>
      <c r="G33" s="519"/>
      <c r="H33" s="519"/>
      <c r="I33" s="519"/>
      <c r="J33" s="519"/>
      <c r="K33" s="519"/>
      <c r="L33" s="519"/>
      <c r="M33" s="519"/>
      <c r="N33" s="519"/>
      <c r="O33" s="519"/>
      <c r="P33" s="519"/>
      <c r="Q33" s="519"/>
      <c r="R33" s="519"/>
      <c r="S33" s="519"/>
      <c r="T33" s="519"/>
      <c r="U33" s="519"/>
      <c r="V33" s="519"/>
      <c r="W33" s="519"/>
      <c r="X33" s="519"/>
      <c r="Y33" s="519"/>
      <c r="Z33" s="519"/>
      <c r="AA33" s="519"/>
      <c r="AB33" s="519"/>
      <c r="AC33" s="519"/>
      <c r="AD33" s="519"/>
      <c r="AE33" s="519"/>
      <c r="AF33" s="520"/>
    </row>
    <row r="34" spans="1:37" s="55" customFormat="1" ht="13.5" thickBot="1">
      <c r="D34" s="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56"/>
      <c r="AF34" s="57"/>
    </row>
    <row r="35" spans="1:37" ht="18.75" customHeight="1">
      <c r="B35" s="472">
        <v>1</v>
      </c>
      <c r="C35" s="473"/>
      <c r="D35" s="473"/>
      <c r="E35" s="474" t="s">
        <v>325</v>
      </c>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216" t="s">
        <v>31</v>
      </c>
      <c r="AF35" s="217" t="s">
        <v>24</v>
      </c>
    </row>
    <row r="36" spans="1:37" ht="25.5" customHeight="1">
      <c r="B36" s="468" t="s">
        <v>7</v>
      </c>
      <c r="C36" s="284"/>
      <c r="D36" s="284"/>
      <c r="E36" s="295" t="s">
        <v>204</v>
      </c>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179" t="str">
        <f>IF(AF36&lt;AE28,"Salário Base insuficiente!","Salário Base atende a CCT.")</f>
        <v>Salário Base atende a CCT.</v>
      </c>
      <c r="AF36" s="253">
        <v>2276</v>
      </c>
      <c r="AG36" s="1" t="s">
        <v>371</v>
      </c>
    </row>
    <row r="37" spans="1:37" ht="21.75" customHeight="1">
      <c r="B37" s="468" t="s">
        <v>9</v>
      </c>
      <c r="C37" s="284"/>
      <c r="D37" s="284"/>
      <c r="E37" s="53" t="s">
        <v>205</v>
      </c>
      <c r="F37" s="4"/>
      <c r="G37" s="4"/>
      <c r="H37" s="4"/>
      <c r="I37" s="4"/>
      <c r="J37" s="4"/>
      <c r="K37" s="4"/>
      <c r="L37" s="4"/>
      <c r="M37" s="4"/>
      <c r="N37" s="4"/>
      <c r="O37" s="4"/>
      <c r="P37" s="4"/>
      <c r="Q37" s="4"/>
      <c r="R37" s="4"/>
      <c r="S37" s="4"/>
      <c r="T37" s="4"/>
      <c r="U37" s="4"/>
      <c r="V37" s="4"/>
      <c r="W37" s="4"/>
      <c r="X37" s="4"/>
      <c r="Y37" s="4"/>
      <c r="Z37" s="4"/>
      <c r="AA37" s="4"/>
      <c r="AB37" s="4"/>
      <c r="AC37" s="4"/>
      <c r="AD37" s="58"/>
      <c r="AE37" s="131">
        <v>0.3</v>
      </c>
      <c r="AF37" s="230">
        <f>ROUND(AF$36*AE37,2)</f>
        <v>682.8</v>
      </c>
      <c r="AG37" s="429" t="s">
        <v>370</v>
      </c>
      <c r="AH37" s="432"/>
      <c r="AI37" s="432"/>
      <c r="AJ37" s="432"/>
      <c r="AK37" s="432"/>
    </row>
    <row r="38" spans="1:37" ht="21.75" customHeight="1">
      <c r="B38" s="468" t="s">
        <v>11</v>
      </c>
      <c r="C38" s="284"/>
      <c r="D38" s="284"/>
      <c r="E38" s="475" t="s">
        <v>206</v>
      </c>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127"/>
      <c r="AE38" s="131">
        <v>0</v>
      </c>
      <c r="AF38" s="230">
        <f>IF(AD38&lt;&gt;"",AE38*AF36,AE38*AE$31)</f>
        <v>0</v>
      </c>
      <c r="AG38" s="429"/>
      <c r="AH38" s="432"/>
      <c r="AI38" s="432"/>
      <c r="AJ38" s="432"/>
      <c r="AK38" s="432"/>
    </row>
    <row r="39" spans="1:37" ht="21.75" customHeight="1">
      <c r="B39" s="468" t="s">
        <v>13</v>
      </c>
      <c r="C39" s="284"/>
      <c r="D39" s="284"/>
      <c r="E39" s="53" t="s">
        <v>207</v>
      </c>
      <c r="F39" s="4"/>
      <c r="G39" s="4"/>
      <c r="H39" s="4"/>
      <c r="I39" s="4"/>
      <c r="J39" s="4"/>
      <c r="K39" s="4"/>
      <c r="L39" s="4"/>
      <c r="M39" s="4"/>
      <c r="N39" s="4"/>
      <c r="O39" s="4"/>
      <c r="P39" s="4"/>
      <c r="Q39" s="4"/>
      <c r="R39" s="4"/>
      <c r="S39" s="4"/>
      <c r="T39" s="4"/>
      <c r="U39" s="4"/>
      <c r="V39" s="4"/>
      <c r="W39" s="4"/>
      <c r="X39" s="4"/>
      <c r="Y39" s="4"/>
      <c r="Z39" s="4"/>
      <c r="AA39" s="4"/>
      <c r="AB39" s="4"/>
      <c r="AC39" s="4"/>
      <c r="AD39" s="127">
        <v>0.2</v>
      </c>
      <c r="AE39" s="142">
        <f>IF(AF$36=0,"",AF39/AF$36)</f>
        <v>0.14377855887521968</v>
      </c>
      <c r="AF39" s="230">
        <f>IF(AD39="",0,ROUND((8*(7*4.345))*(((AF$36+AF$37)/220)*AD39)/2,2))</f>
        <v>327.24</v>
      </c>
    </row>
    <row r="40" spans="1:37" ht="21.75" customHeight="1">
      <c r="A40" s="9"/>
      <c r="B40" s="468" t="s">
        <v>37</v>
      </c>
      <c r="C40" s="284"/>
      <c r="D40" s="284"/>
      <c r="E40" s="358" t="s">
        <v>208</v>
      </c>
      <c r="F40" s="358"/>
      <c r="G40" s="358"/>
      <c r="H40" s="358"/>
      <c r="I40" s="358"/>
      <c r="J40" s="358"/>
      <c r="K40" s="358"/>
      <c r="L40" s="358"/>
      <c r="M40" s="358"/>
      <c r="N40" s="358"/>
      <c r="O40" s="358"/>
      <c r="P40" s="358"/>
      <c r="Q40" s="358"/>
      <c r="R40" s="358"/>
      <c r="S40" s="358"/>
      <c r="T40" s="358"/>
      <c r="U40" s="358"/>
      <c r="V40" s="358"/>
      <c r="W40" s="358"/>
      <c r="X40" s="358"/>
      <c r="Y40" s="358"/>
      <c r="Z40" s="358"/>
      <c r="AA40" s="358"/>
      <c r="AB40" s="358"/>
      <c r="AC40" s="358"/>
      <c r="AD40" s="59" t="str">
        <f>IF(AD39&gt;0,"X","")</f>
        <v>X</v>
      </c>
      <c r="AE40" s="142">
        <f>IF(AF$36=0,"",AF40/AF$36)</f>
        <v>8.9863796133567667E-2</v>
      </c>
      <c r="AF40" s="230">
        <f>IF(AD40="",0,ROUND((1*(7*4.345))*((AF$36+AF$37)/220)/2,2))</f>
        <v>204.53</v>
      </c>
      <c r="AG40" s="60"/>
    </row>
    <row r="41" spans="1:37" ht="29.25" customHeight="1">
      <c r="B41" s="468" t="s">
        <v>39</v>
      </c>
      <c r="C41" s="284"/>
      <c r="D41" s="284"/>
      <c r="E41" s="358" t="s">
        <v>209</v>
      </c>
      <c r="F41" s="358"/>
      <c r="G41" s="358"/>
      <c r="H41" s="358"/>
      <c r="I41" s="358"/>
      <c r="J41" s="358"/>
      <c r="K41" s="358"/>
      <c r="L41" s="469"/>
      <c r="M41" s="469"/>
      <c r="N41" s="469"/>
      <c r="O41" s="469"/>
      <c r="P41" s="469"/>
      <c r="Q41" s="469"/>
      <c r="R41" s="469"/>
      <c r="S41" s="469"/>
      <c r="T41" s="469"/>
      <c r="U41" s="469"/>
      <c r="V41" s="469"/>
      <c r="W41" s="469"/>
      <c r="X41" s="469"/>
      <c r="Y41" s="469"/>
      <c r="Z41" s="469"/>
      <c r="AA41" s="469"/>
      <c r="AB41" s="469"/>
      <c r="AC41" s="469"/>
      <c r="AD41" s="469"/>
      <c r="AE41" s="142">
        <f>IF(AF$36=0,"",AF41/AF$36)</f>
        <v>0</v>
      </c>
      <c r="AF41" s="253"/>
    </row>
    <row r="42" spans="1:37" ht="18.75" customHeight="1" thickBot="1">
      <c r="B42" s="221" t="s">
        <v>45</v>
      </c>
      <c r="C42" s="222"/>
      <c r="D42" s="222"/>
      <c r="E42" s="222"/>
      <c r="F42" s="222"/>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2"/>
      <c r="AE42" s="254"/>
      <c r="AF42" s="224">
        <f>SUM(AF36:AF41)</f>
        <v>3490.57</v>
      </c>
    </row>
    <row r="43" spans="1:37" ht="17.25" customHeight="1" thickBot="1"/>
    <row r="44" spans="1:37" ht="24" customHeight="1" thickBot="1">
      <c r="B44" s="518" t="s">
        <v>210</v>
      </c>
      <c r="C44" s="519"/>
      <c r="D44" s="519"/>
      <c r="E44" s="519"/>
      <c r="F44" s="519"/>
      <c r="G44" s="519"/>
      <c r="H44" s="519"/>
      <c r="I44" s="519"/>
      <c r="J44" s="519"/>
      <c r="K44" s="519"/>
      <c r="L44" s="519"/>
      <c r="M44" s="519"/>
      <c r="N44" s="519"/>
      <c r="O44" s="519"/>
      <c r="P44" s="519"/>
      <c r="Q44" s="519"/>
      <c r="R44" s="519"/>
      <c r="S44" s="519"/>
      <c r="T44" s="519"/>
      <c r="U44" s="519"/>
      <c r="V44" s="519"/>
      <c r="W44" s="519"/>
      <c r="X44" s="519"/>
      <c r="Y44" s="519"/>
      <c r="Z44" s="519"/>
      <c r="AA44" s="519"/>
      <c r="AB44" s="519"/>
      <c r="AC44" s="519"/>
      <c r="AD44" s="519"/>
      <c r="AE44" s="519"/>
      <c r="AF44" s="520"/>
    </row>
    <row r="45" spans="1:37" ht="11.25" customHeight="1" thickBot="1"/>
    <row r="46" spans="1:37" ht="25.5">
      <c r="A46" s="9"/>
      <c r="B46" s="227" t="s">
        <v>211</v>
      </c>
      <c r="C46" s="228"/>
      <c r="D46" s="228"/>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8"/>
      <c r="AE46" s="470" t="s">
        <v>203</v>
      </c>
      <c r="AF46" s="471"/>
    </row>
    <row r="47" spans="1:37" ht="17.25" customHeight="1">
      <c r="A47" s="9"/>
      <c r="B47" s="476" t="s">
        <v>212</v>
      </c>
      <c r="C47" s="477"/>
      <c r="D47" s="477"/>
      <c r="E47" s="478" t="s">
        <v>213</v>
      </c>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82" t="s">
        <v>31</v>
      </c>
      <c r="AF47" s="229" t="s">
        <v>24</v>
      </c>
    </row>
    <row r="48" spans="1:37" ht="17.25" customHeight="1">
      <c r="B48" s="479" t="s">
        <v>7</v>
      </c>
      <c r="C48" s="480"/>
      <c r="D48" s="480"/>
      <c r="E48" s="481" t="s">
        <v>214</v>
      </c>
      <c r="F48" s="481"/>
      <c r="G48" s="481"/>
      <c r="H48" s="481"/>
      <c r="I48" s="481"/>
      <c r="J48" s="481"/>
      <c r="K48" s="481"/>
      <c r="L48" s="481"/>
      <c r="M48" s="481"/>
      <c r="N48" s="481"/>
      <c r="O48" s="481"/>
      <c r="P48" s="481"/>
      <c r="Q48" s="481"/>
      <c r="R48" s="481"/>
      <c r="S48" s="481"/>
      <c r="T48" s="481"/>
      <c r="U48" s="481"/>
      <c r="V48" s="481"/>
      <c r="W48" s="481"/>
      <c r="X48" s="481"/>
      <c r="Y48" s="481"/>
      <c r="Z48" s="481"/>
      <c r="AA48" s="481"/>
      <c r="AB48" s="481"/>
      <c r="AC48" s="481"/>
      <c r="AD48" s="481"/>
      <c r="AE48" s="142">
        <f>1/12</f>
        <v>8.3333333333333329E-2</v>
      </c>
      <c r="AF48" s="234">
        <f>ROUND(AE48*AF$42,2)</f>
        <v>290.88</v>
      </c>
    </row>
    <row r="49" spans="2:37" ht="17.25" customHeight="1">
      <c r="B49" s="479" t="s">
        <v>9</v>
      </c>
      <c r="C49" s="480"/>
      <c r="D49" s="480"/>
      <c r="E49" s="482" t="s">
        <v>215</v>
      </c>
      <c r="F49" s="482"/>
      <c r="G49" s="482"/>
      <c r="H49" s="482"/>
      <c r="I49" s="482"/>
      <c r="J49" s="482"/>
      <c r="K49" s="482"/>
      <c r="L49" s="482"/>
      <c r="M49" s="482"/>
      <c r="N49" s="482"/>
      <c r="O49" s="482"/>
      <c r="P49" s="482"/>
      <c r="Q49" s="482"/>
      <c r="R49" s="482"/>
      <c r="S49" s="482"/>
      <c r="T49" s="482"/>
      <c r="U49" s="482"/>
      <c r="V49" s="482"/>
      <c r="W49" s="482"/>
      <c r="X49" s="482"/>
      <c r="Y49" s="482"/>
      <c r="Z49" s="482"/>
      <c r="AA49" s="482"/>
      <c r="AB49" s="482"/>
      <c r="AC49" s="482"/>
      <c r="AD49" s="482"/>
      <c r="AE49" s="142">
        <v>0.121</v>
      </c>
      <c r="AF49" s="234">
        <f>ROUND(AE49*AF$42,2)</f>
        <v>422.36</v>
      </c>
    </row>
    <row r="50" spans="2:37" ht="17.25" customHeight="1" thickBot="1">
      <c r="B50" s="483" t="s">
        <v>81</v>
      </c>
      <c r="C50" s="484"/>
      <c r="D50" s="484"/>
      <c r="E50" s="484"/>
      <c r="F50" s="484"/>
      <c r="G50" s="484"/>
      <c r="H50" s="484"/>
      <c r="I50" s="484"/>
      <c r="J50" s="484"/>
      <c r="K50" s="484"/>
      <c r="L50" s="484"/>
      <c r="M50" s="484"/>
      <c r="N50" s="484"/>
      <c r="O50" s="484"/>
      <c r="P50" s="484"/>
      <c r="Q50" s="484"/>
      <c r="R50" s="484"/>
      <c r="S50" s="484"/>
      <c r="T50" s="484"/>
      <c r="U50" s="484"/>
      <c r="V50" s="484"/>
      <c r="W50" s="484"/>
      <c r="X50" s="484"/>
      <c r="Y50" s="484"/>
      <c r="Z50" s="484"/>
      <c r="AA50" s="484"/>
      <c r="AB50" s="484"/>
      <c r="AC50" s="484"/>
      <c r="AD50" s="484"/>
      <c r="AE50" s="250">
        <f>SUM(AE48:AE49)</f>
        <v>0.20433333333333331</v>
      </c>
      <c r="AF50" s="245">
        <f>SUM(AF48:AF49)</f>
        <v>713.24</v>
      </c>
    </row>
    <row r="51" spans="2:37" ht="15" customHeight="1" thickBot="1"/>
    <row r="52" spans="2:37" ht="26.25" thickBot="1">
      <c r="B52" s="227" t="s">
        <v>216</v>
      </c>
      <c r="C52" s="228"/>
      <c r="D52" s="228"/>
      <c r="E52" s="228"/>
      <c r="F52" s="228"/>
      <c r="G52" s="228"/>
      <c r="H52" s="228"/>
      <c r="I52" s="228"/>
      <c r="J52" s="228"/>
      <c r="K52" s="228"/>
      <c r="L52" s="228"/>
      <c r="M52" s="228"/>
      <c r="N52" s="228"/>
      <c r="O52" s="228"/>
      <c r="P52" s="228"/>
      <c r="Q52" s="228"/>
      <c r="R52" s="228"/>
      <c r="S52" s="228"/>
      <c r="T52" s="228"/>
      <c r="U52" s="228"/>
      <c r="V52" s="228"/>
      <c r="W52" s="228"/>
      <c r="X52" s="228"/>
      <c r="Y52" s="228"/>
      <c r="Z52" s="228"/>
      <c r="AA52" s="228"/>
      <c r="AB52" s="228"/>
      <c r="AC52" s="228"/>
      <c r="AD52" s="228"/>
      <c r="AE52" s="237" t="s">
        <v>217</v>
      </c>
      <c r="AF52" s="105">
        <f>AF42+AF50</f>
        <v>4203.8100000000004</v>
      </c>
    </row>
    <row r="53" spans="2:37" ht="17.25" customHeight="1">
      <c r="B53" s="476" t="s">
        <v>218</v>
      </c>
      <c r="C53" s="477"/>
      <c r="D53" s="477"/>
      <c r="E53" s="478" t="s">
        <v>219</v>
      </c>
      <c r="F53" s="478"/>
      <c r="G53" s="478"/>
      <c r="H53" s="478"/>
      <c r="I53" s="478"/>
      <c r="J53" s="478"/>
      <c r="K53" s="478"/>
      <c r="L53" s="478"/>
      <c r="M53" s="478"/>
      <c r="N53" s="478"/>
      <c r="O53" s="478"/>
      <c r="P53" s="478"/>
      <c r="Q53" s="478"/>
      <c r="R53" s="478"/>
      <c r="S53" s="478"/>
      <c r="T53" s="478"/>
      <c r="U53" s="478"/>
      <c r="V53" s="478"/>
      <c r="W53" s="478"/>
      <c r="X53" s="478"/>
      <c r="Y53" s="478"/>
      <c r="Z53" s="478"/>
      <c r="AA53" s="478"/>
      <c r="AB53" s="478"/>
      <c r="AC53" s="478"/>
      <c r="AD53" s="478"/>
      <c r="AE53" s="83" t="s">
        <v>31</v>
      </c>
      <c r="AF53" s="249" t="s">
        <v>24</v>
      </c>
    </row>
    <row r="54" spans="2:37" ht="17.25" customHeight="1">
      <c r="B54" s="479" t="s">
        <v>7</v>
      </c>
      <c r="C54" s="480"/>
      <c r="D54" s="480"/>
      <c r="E54" s="485" t="s">
        <v>67</v>
      </c>
      <c r="F54" s="485"/>
      <c r="G54" s="486" t="s">
        <v>220</v>
      </c>
      <c r="H54" s="486"/>
      <c r="I54" s="486"/>
      <c r="J54" s="486"/>
      <c r="K54" s="486"/>
      <c r="L54" s="486"/>
      <c r="M54" s="486"/>
      <c r="N54" s="486"/>
      <c r="O54" s="486"/>
      <c r="P54" s="486"/>
      <c r="Q54" s="486"/>
      <c r="R54" s="486"/>
      <c r="S54" s="486"/>
      <c r="T54" s="486"/>
      <c r="U54" s="486"/>
      <c r="V54" s="486"/>
      <c r="W54" s="486"/>
      <c r="X54" s="486"/>
      <c r="Y54" s="486"/>
      <c r="Z54" s="486"/>
      <c r="AA54" s="486"/>
      <c r="AB54" s="486"/>
      <c r="AC54" s="486"/>
      <c r="AD54" s="127"/>
      <c r="AE54" s="131">
        <f>IF(AD54="",0.2,0)</f>
        <v>0.2</v>
      </c>
      <c r="AF54" s="234">
        <f>ROUND(AE54*AF$52,2)</f>
        <v>840.76</v>
      </c>
      <c r="AG54" s="429" t="s">
        <v>372</v>
      </c>
      <c r="AH54" s="430"/>
      <c r="AI54" s="430"/>
      <c r="AJ54" s="430"/>
      <c r="AK54" s="430"/>
    </row>
    <row r="55" spans="2:37" ht="17.25" customHeight="1">
      <c r="B55" s="479" t="s">
        <v>9</v>
      </c>
      <c r="C55" s="480"/>
      <c r="D55" s="480"/>
      <c r="E55" s="481" t="s">
        <v>71</v>
      </c>
      <c r="F55" s="481"/>
      <c r="G55" s="481"/>
      <c r="H55" s="481"/>
      <c r="I55" s="481"/>
      <c r="J55" s="481"/>
      <c r="K55" s="481"/>
      <c r="L55" s="481"/>
      <c r="M55" s="481"/>
      <c r="N55" s="481"/>
      <c r="O55" s="481"/>
      <c r="P55" s="481"/>
      <c r="Q55" s="481"/>
      <c r="R55" s="481"/>
      <c r="S55" s="481"/>
      <c r="T55" s="481"/>
      <c r="U55" s="481"/>
      <c r="V55" s="481"/>
      <c r="W55" s="481"/>
      <c r="X55" s="481"/>
      <c r="Y55" s="481"/>
      <c r="Z55" s="481"/>
      <c r="AA55" s="481"/>
      <c r="AB55" s="481"/>
      <c r="AC55" s="481"/>
      <c r="AD55" s="481"/>
      <c r="AE55" s="131">
        <v>2.5000000000000001E-2</v>
      </c>
      <c r="AF55" s="234">
        <f t="shared" ref="AF55:AF62" si="0">ROUND(AE55*AF$52,2)</f>
        <v>105.1</v>
      </c>
      <c r="AG55" s="431"/>
      <c r="AH55" s="430"/>
      <c r="AI55" s="430"/>
      <c r="AJ55" s="430"/>
      <c r="AK55" s="430"/>
    </row>
    <row r="56" spans="2:37" ht="17.25" customHeight="1">
      <c r="B56" s="479" t="s">
        <v>11</v>
      </c>
      <c r="C56" s="480"/>
      <c r="D56" s="480"/>
      <c r="E56" s="487" t="s">
        <v>221</v>
      </c>
      <c r="F56" s="487"/>
      <c r="G56" s="487"/>
      <c r="H56" s="487"/>
      <c r="I56" s="487"/>
      <c r="J56" s="487"/>
      <c r="K56" s="487"/>
      <c r="L56" s="487"/>
      <c r="M56" s="487"/>
      <c r="N56" s="487"/>
      <c r="O56" s="487"/>
      <c r="P56" s="487"/>
      <c r="Q56" s="487"/>
      <c r="R56" s="487"/>
      <c r="S56" s="487"/>
      <c r="T56" s="487"/>
      <c r="U56" s="487"/>
      <c r="V56" s="487"/>
      <c r="W56" s="487"/>
      <c r="X56" s="487"/>
      <c r="Y56" s="487"/>
      <c r="Z56" s="487"/>
      <c r="AA56" s="487"/>
      <c r="AB56" s="487"/>
      <c r="AC56" s="487"/>
      <c r="AD56" s="487"/>
      <c r="AE56" s="131">
        <v>0.03</v>
      </c>
      <c r="AF56" s="234">
        <f t="shared" si="0"/>
        <v>126.11</v>
      </c>
      <c r="AG56" s="431"/>
      <c r="AH56" s="430"/>
      <c r="AI56" s="430"/>
      <c r="AJ56" s="430"/>
      <c r="AK56" s="430"/>
    </row>
    <row r="57" spans="2:37" ht="17.25" customHeight="1">
      <c r="B57" s="479" t="s">
        <v>13</v>
      </c>
      <c r="C57" s="480"/>
      <c r="D57" s="480"/>
      <c r="E57" s="481" t="s">
        <v>222</v>
      </c>
      <c r="F57" s="481"/>
      <c r="G57" s="481"/>
      <c r="H57" s="481"/>
      <c r="I57" s="481"/>
      <c r="J57" s="481"/>
      <c r="K57" s="481"/>
      <c r="L57" s="481"/>
      <c r="M57" s="481"/>
      <c r="N57" s="481"/>
      <c r="O57" s="481"/>
      <c r="P57" s="481"/>
      <c r="Q57" s="481"/>
      <c r="R57" s="481"/>
      <c r="S57" s="481"/>
      <c r="T57" s="481"/>
      <c r="U57" s="481"/>
      <c r="V57" s="481"/>
      <c r="W57" s="481"/>
      <c r="X57" s="481"/>
      <c r="Y57" s="481"/>
      <c r="Z57" s="481"/>
      <c r="AA57" s="481"/>
      <c r="AB57" s="481"/>
      <c r="AC57" s="481"/>
      <c r="AD57" s="481"/>
      <c r="AE57" s="131">
        <v>1.4999999999999999E-2</v>
      </c>
      <c r="AF57" s="234">
        <f t="shared" si="0"/>
        <v>63.06</v>
      </c>
      <c r="AG57" s="431"/>
      <c r="AH57" s="430"/>
      <c r="AI57" s="430"/>
      <c r="AJ57" s="430"/>
      <c r="AK57" s="430"/>
    </row>
    <row r="58" spans="2:37" ht="17.25" customHeight="1">
      <c r="B58" s="479" t="s">
        <v>37</v>
      </c>
      <c r="C58" s="480"/>
      <c r="D58" s="480"/>
      <c r="E58" s="481" t="s">
        <v>223</v>
      </c>
      <c r="F58" s="481"/>
      <c r="G58" s="481"/>
      <c r="H58" s="481"/>
      <c r="I58" s="481"/>
      <c r="J58" s="481"/>
      <c r="K58" s="481"/>
      <c r="L58" s="481"/>
      <c r="M58" s="481"/>
      <c r="N58" s="481"/>
      <c r="O58" s="481"/>
      <c r="P58" s="481"/>
      <c r="Q58" s="481"/>
      <c r="R58" s="481"/>
      <c r="S58" s="481"/>
      <c r="T58" s="481"/>
      <c r="U58" s="481"/>
      <c r="V58" s="481"/>
      <c r="W58" s="481"/>
      <c r="X58" s="481"/>
      <c r="Y58" s="481"/>
      <c r="Z58" s="481"/>
      <c r="AA58" s="481"/>
      <c r="AB58" s="481"/>
      <c r="AC58" s="481"/>
      <c r="AD58" s="481"/>
      <c r="AE58" s="131">
        <v>0.01</v>
      </c>
      <c r="AF58" s="234">
        <f t="shared" si="0"/>
        <v>42.04</v>
      </c>
      <c r="AG58" s="431"/>
      <c r="AH58" s="430"/>
      <c r="AI58" s="430"/>
      <c r="AJ58" s="430"/>
      <c r="AK58" s="430"/>
    </row>
    <row r="59" spans="2:37" ht="17.25" customHeight="1">
      <c r="B59" s="479" t="s">
        <v>39</v>
      </c>
      <c r="C59" s="480"/>
      <c r="D59" s="480"/>
      <c r="E59" s="481" t="s">
        <v>74</v>
      </c>
      <c r="F59" s="481"/>
      <c r="G59" s="481"/>
      <c r="H59" s="481"/>
      <c r="I59" s="481"/>
      <c r="J59" s="481"/>
      <c r="K59" s="481"/>
      <c r="L59" s="481"/>
      <c r="M59" s="481"/>
      <c r="N59" s="481"/>
      <c r="O59" s="481"/>
      <c r="P59" s="481"/>
      <c r="Q59" s="481"/>
      <c r="R59" s="481"/>
      <c r="S59" s="481"/>
      <c r="T59" s="481"/>
      <c r="U59" s="481"/>
      <c r="V59" s="481"/>
      <c r="W59" s="481"/>
      <c r="X59" s="481"/>
      <c r="Y59" s="481"/>
      <c r="Z59" s="481"/>
      <c r="AA59" s="481"/>
      <c r="AB59" s="481"/>
      <c r="AC59" s="481"/>
      <c r="AD59" s="481"/>
      <c r="AE59" s="131">
        <v>6.0000000000000001E-3</v>
      </c>
      <c r="AF59" s="234">
        <f t="shared" si="0"/>
        <v>25.22</v>
      </c>
      <c r="AG59" s="431"/>
      <c r="AH59" s="430"/>
      <c r="AI59" s="430"/>
      <c r="AJ59" s="430"/>
      <c r="AK59" s="430"/>
    </row>
    <row r="60" spans="2:37" ht="17.25" customHeight="1">
      <c r="B60" s="479" t="s">
        <v>41</v>
      </c>
      <c r="C60" s="480"/>
      <c r="D60" s="480"/>
      <c r="E60" s="481" t="s">
        <v>70</v>
      </c>
      <c r="F60" s="481"/>
      <c r="G60" s="481"/>
      <c r="H60" s="481"/>
      <c r="I60" s="481"/>
      <c r="J60" s="481"/>
      <c r="K60" s="481"/>
      <c r="L60" s="481"/>
      <c r="M60" s="481"/>
      <c r="N60" s="481"/>
      <c r="O60" s="481"/>
      <c r="P60" s="481"/>
      <c r="Q60" s="481"/>
      <c r="R60" s="481"/>
      <c r="S60" s="481"/>
      <c r="T60" s="481"/>
      <c r="U60" s="481"/>
      <c r="V60" s="481"/>
      <c r="W60" s="481"/>
      <c r="X60" s="481"/>
      <c r="Y60" s="481"/>
      <c r="Z60" s="481"/>
      <c r="AA60" s="481"/>
      <c r="AB60" s="481"/>
      <c r="AC60" s="481"/>
      <c r="AD60" s="481"/>
      <c r="AE60" s="131">
        <v>2E-3</v>
      </c>
      <c r="AF60" s="234">
        <f t="shared" si="0"/>
        <v>8.41</v>
      </c>
      <c r="AG60" s="431"/>
      <c r="AH60" s="430"/>
      <c r="AI60" s="430"/>
      <c r="AJ60" s="430"/>
      <c r="AK60" s="430"/>
    </row>
    <row r="61" spans="2:37" ht="17.25" customHeight="1">
      <c r="B61" s="479" t="s">
        <v>43</v>
      </c>
      <c r="C61" s="480"/>
      <c r="D61" s="480"/>
      <c r="E61" s="481" t="s">
        <v>72</v>
      </c>
      <c r="F61" s="481"/>
      <c r="G61" s="481"/>
      <c r="H61" s="481"/>
      <c r="I61" s="481"/>
      <c r="J61" s="481"/>
      <c r="K61" s="481"/>
      <c r="L61" s="481"/>
      <c r="M61" s="481"/>
      <c r="N61" s="481"/>
      <c r="O61" s="481"/>
      <c r="P61" s="481"/>
      <c r="Q61" s="481"/>
      <c r="R61" s="481"/>
      <c r="S61" s="481"/>
      <c r="T61" s="481"/>
      <c r="U61" s="481"/>
      <c r="V61" s="481"/>
      <c r="W61" s="481"/>
      <c r="X61" s="481"/>
      <c r="Y61" s="481"/>
      <c r="Z61" s="481"/>
      <c r="AA61" s="481"/>
      <c r="AB61" s="481"/>
      <c r="AC61" s="481"/>
      <c r="AD61" s="481"/>
      <c r="AE61" s="131">
        <v>0.08</v>
      </c>
      <c r="AF61" s="234">
        <f t="shared" si="0"/>
        <v>336.3</v>
      </c>
      <c r="AG61" s="431"/>
      <c r="AH61" s="430"/>
      <c r="AI61" s="430"/>
      <c r="AJ61" s="430"/>
      <c r="AK61" s="430"/>
    </row>
    <row r="62" spans="2:37" ht="17.25" customHeight="1">
      <c r="B62" s="479" t="s">
        <v>324</v>
      </c>
      <c r="C62" s="480"/>
      <c r="D62" s="480"/>
      <c r="E62" s="358" t="s">
        <v>209</v>
      </c>
      <c r="F62" s="359"/>
      <c r="G62" s="359"/>
      <c r="H62" s="359"/>
      <c r="I62" s="359"/>
      <c r="J62" s="359"/>
      <c r="K62" s="359"/>
      <c r="L62" s="490"/>
      <c r="M62" s="490"/>
      <c r="N62" s="490"/>
      <c r="O62" s="490"/>
      <c r="P62" s="490"/>
      <c r="Q62" s="490"/>
      <c r="R62" s="490"/>
      <c r="S62" s="490"/>
      <c r="T62" s="490"/>
      <c r="U62" s="490"/>
      <c r="V62" s="490"/>
      <c r="W62" s="490"/>
      <c r="X62" s="490"/>
      <c r="Y62" s="490"/>
      <c r="Z62" s="490"/>
      <c r="AA62" s="490"/>
      <c r="AB62" s="490"/>
      <c r="AC62" s="490"/>
      <c r="AD62" s="469"/>
      <c r="AE62" s="131"/>
      <c r="AF62" s="234">
        <f t="shared" si="0"/>
        <v>0</v>
      </c>
      <c r="AG62" s="431"/>
      <c r="AH62" s="430"/>
      <c r="AI62" s="430"/>
      <c r="AJ62" s="430"/>
      <c r="AK62" s="430"/>
    </row>
    <row r="63" spans="2:37" ht="17.25" customHeight="1" thickBot="1">
      <c r="B63" s="488" t="s">
        <v>75</v>
      </c>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250">
        <f>SUM(AE54:AE62)</f>
        <v>0.36800000000000005</v>
      </c>
      <c r="AF63" s="251">
        <f>SUM(AF54:AF62)</f>
        <v>1547</v>
      </c>
    </row>
    <row r="64" spans="2:37" ht="15" customHeight="1" thickBot="1"/>
    <row r="65" spans="1:57" ht="18" customHeight="1">
      <c r="B65" s="227" t="s">
        <v>224</v>
      </c>
      <c r="C65" s="228"/>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470" t="s">
        <v>203</v>
      </c>
      <c r="AF65" s="471"/>
    </row>
    <row r="66" spans="1:57" ht="18" customHeight="1">
      <c r="B66" s="476" t="s">
        <v>225</v>
      </c>
      <c r="C66" s="477"/>
      <c r="D66" s="477"/>
      <c r="E66" s="478" t="s">
        <v>47</v>
      </c>
      <c r="F66" s="478"/>
      <c r="G66" s="478"/>
      <c r="H66" s="478"/>
      <c r="I66" s="478"/>
      <c r="J66" s="478"/>
      <c r="K66" s="478"/>
      <c r="L66" s="478"/>
      <c r="M66" s="478"/>
      <c r="N66" s="478"/>
      <c r="O66" s="478"/>
      <c r="P66" s="478"/>
      <c r="Q66" s="478"/>
      <c r="R66" s="478"/>
      <c r="S66" s="478"/>
      <c r="T66" s="478"/>
      <c r="U66" s="478"/>
      <c r="V66" s="478"/>
      <c r="W66" s="478"/>
      <c r="X66" s="478"/>
      <c r="Y66" s="478"/>
      <c r="Z66" s="478"/>
      <c r="AA66" s="478"/>
      <c r="AB66" s="478"/>
      <c r="AC66" s="478"/>
      <c r="AD66" s="478"/>
      <c r="AE66" s="82" t="s">
        <v>33</v>
      </c>
      <c r="AF66" s="229" t="s">
        <v>24</v>
      </c>
    </row>
    <row r="67" spans="1:57" ht="18" customHeight="1">
      <c r="B67" s="468" t="s">
        <v>7</v>
      </c>
      <c r="C67" s="284"/>
      <c r="D67" s="284"/>
      <c r="E67" s="358" t="s">
        <v>326</v>
      </c>
      <c r="F67" s="358"/>
      <c r="G67" s="358"/>
      <c r="H67" s="358"/>
      <c r="I67" s="358"/>
      <c r="J67" s="358"/>
      <c r="K67" s="358"/>
      <c r="L67" s="358"/>
      <c r="M67" s="358"/>
      <c r="N67" s="358"/>
      <c r="O67" s="358"/>
      <c r="P67" s="358"/>
      <c r="Q67" s="358"/>
      <c r="R67" s="358"/>
      <c r="S67" s="358"/>
      <c r="T67" s="358"/>
      <c r="U67" s="358"/>
      <c r="V67" s="358"/>
      <c r="W67" s="358"/>
      <c r="X67" s="358"/>
      <c r="Y67" s="358"/>
      <c r="Z67" s="358"/>
      <c r="AA67" s="358"/>
      <c r="AB67" s="358"/>
      <c r="AC67" s="358"/>
      <c r="AD67" s="61" t="s">
        <v>226</v>
      </c>
      <c r="AE67" s="129"/>
      <c r="AF67" s="491">
        <f>ROUND(IF((IF(AE67="",0,(((AE67*AE68)-(0.06*AF36)))))&lt;0,0,IF(AE67="",0,(((AE67*AE68)-(0.06*AF36))))),2)</f>
        <v>0</v>
      </c>
      <c r="AG67" s="428" t="s">
        <v>373</v>
      </c>
      <c r="AH67" s="428"/>
      <c r="AI67" s="428"/>
      <c r="AJ67" s="428"/>
      <c r="AK67" s="139"/>
      <c r="AL67" s="139"/>
      <c r="AM67" s="139"/>
      <c r="AN67" s="139"/>
      <c r="AO67" s="139"/>
      <c r="AP67" s="139"/>
      <c r="AQ67" s="139"/>
      <c r="AR67" s="139"/>
      <c r="AS67" s="139"/>
      <c r="AT67" s="139"/>
      <c r="AU67" s="139"/>
      <c r="AV67" s="139"/>
      <c r="AW67" s="139"/>
      <c r="AX67" s="139"/>
      <c r="AY67" s="139"/>
      <c r="AZ67" s="139"/>
      <c r="BA67" s="139"/>
      <c r="BB67" s="139"/>
      <c r="BC67" s="139"/>
      <c r="BD67" s="139"/>
      <c r="BE67" s="139"/>
    </row>
    <row r="68" spans="1:57" ht="18" customHeight="1">
      <c r="B68" s="468"/>
      <c r="C68" s="284"/>
      <c r="D68" s="284"/>
      <c r="E68" s="358"/>
      <c r="F68" s="358"/>
      <c r="G68" s="358"/>
      <c r="H68" s="358"/>
      <c r="I68" s="358"/>
      <c r="J68" s="358"/>
      <c r="K68" s="358"/>
      <c r="L68" s="358"/>
      <c r="M68" s="358"/>
      <c r="N68" s="358"/>
      <c r="O68" s="358"/>
      <c r="P68" s="358"/>
      <c r="Q68" s="358"/>
      <c r="R68" s="358"/>
      <c r="S68" s="358"/>
      <c r="T68" s="358"/>
      <c r="U68" s="358"/>
      <c r="V68" s="358"/>
      <c r="W68" s="358"/>
      <c r="X68" s="358"/>
      <c r="Y68" s="358"/>
      <c r="Z68" s="358"/>
      <c r="AA68" s="358"/>
      <c r="AB68" s="358"/>
      <c r="AC68" s="358"/>
      <c r="AD68" s="61" t="s">
        <v>227</v>
      </c>
      <c r="AE68" s="130"/>
      <c r="AF68" s="491"/>
      <c r="AG68" s="428"/>
      <c r="AH68" s="428"/>
      <c r="AI68" s="428"/>
      <c r="AJ68" s="428"/>
      <c r="AK68" s="139"/>
      <c r="AL68" s="139"/>
      <c r="AM68" s="139"/>
      <c r="AN68" s="139"/>
      <c r="AO68" s="139"/>
      <c r="AP68" s="139"/>
      <c r="AQ68" s="139"/>
      <c r="AR68" s="139"/>
      <c r="AS68" s="139"/>
      <c r="AT68" s="139"/>
      <c r="AU68" s="139"/>
      <c r="AV68" s="139"/>
      <c r="AW68" s="139"/>
      <c r="AX68" s="139"/>
      <c r="AY68" s="139"/>
      <c r="AZ68" s="139"/>
      <c r="BA68" s="139"/>
      <c r="BB68" s="139"/>
      <c r="BC68" s="139"/>
      <c r="BD68" s="139"/>
      <c r="BE68" s="139"/>
    </row>
    <row r="69" spans="1:57" ht="18" customHeight="1">
      <c r="B69" s="468" t="s">
        <v>9</v>
      </c>
      <c r="C69" s="284"/>
      <c r="D69" s="284"/>
      <c r="E69" s="358" t="s">
        <v>228</v>
      </c>
      <c r="F69" s="358"/>
      <c r="G69" s="358"/>
      <c r="H69" s="358"/>
      <c r="I69" s="358"/>
      <c r="J69" s="358"/>
      <c r="K69" s="358"/>
      <c r="L69" s="358"/>
      <c r="M69" s="358"/>
      <c r="N69" s="358"/>
      <c r="O69" s="358"/>
      <c r="P69" s="358"/>
      <c r="Q69" s="358"/>
      <c r="R69" s="358"/>
      <c r="S69" s="358"/>
      <c r="T69" s="358"/>
      <c r="U69" s="358"/>
      <c r="V69" s="358"/>
      <c r="W69" s="358"/>
      <c r="X69" s="358"/>
      <c r="Y69" s="358"/>
      <c r="Z69" s="358"/>
      <c r="AA69" s="358"/>
      <c r="AB69" s="358"/>
      <c r="AC69" s="358"/>
      <c r="AD69" s="61" t="s">
        <v>229</v>
      </c>
      <c r="AE69" s="130">
        <f>15*52.09</f>
        <v>781.35</v>
      </c>
      <c r="AF69" s="491">
        <f>ROUND(AE69-(AE69*AE70),2)</f>
        <v>625.08000000000004</v>
      </c>
      <c r="AG69" s="428"/>
      <c r="AH69" s="428"/>
      <c r="AI69" s="428"/>
      <c r="AJ69" s="428"/>
    </row>
    <row r="70" spans="1:57" ht="18" customHeight="1">
      <c r="B70" s="468"/>
      <c r="C70" s="284"/>
      <c r="D70" s="284"/>
      <c r="E70" s="358"/>
      <c r="F70" s="358"/>
      <c r="G70" s="358"/>
      <c r="H70" s="358"/>
      <c r="I70" s="358"/>
      <c r="J70" s="358"/>
      <c r="K70" s="358"/>
      <c r="L70" s="358"/>
      <c r="M70" s="358"/>
      <c r="N70" s="358"/>
      <c r="O70" s="358"/>
      <c r="P70" s="358"/>
      <c r="Q70" s="358"/>
      <c r="R70" s="358"/>
      <c r="S70" s="358"/>
      <c r="T70" s="358"/>
      <c r="U70" s="358"/>
      <c r="V70" s="358"/>
      <c r="W70" s="358"/>
      <c r="X70" s="358"/>
      <c r="Y70" s="358"/>
      <c r="Z70" s="358"/>
      <c r="AA70" s="358"/>
      <c r="AB70" s="358"/>
      <c r="AC70" s="358"/>
      <c r="AD70" s="61" t="s">
        <v>230</v>
      </c>
      <c r="AE70" s="131">
        <v>0.2</v>
      </c>
      <c r="AF70" s="491"/>
      <c r="AG70" s="428"/>
      <c r="AH70" s="428"/>
      <c r="AI70" s="428"/>
      <c r="AJ70" s="428"/>
    </row>
    <row r="71" spans="1:57" ht="18" customHeight="1">
      <c r="B71" s="468" t="s">
        <v>11</v>
      </c>
      <c r="C71" s="284"/>
      <c r="D71" s="284"/>
      <c r="E71" s="300" t="s">
        <v>231</v>
      </c>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141">
        <v>0.41920000000000002</v>
      </c>
      <c r="AF71" s="226">
        <v>90</v>
      </c>
      <c r="AG71" s="428"/>
      <c r="AH71" s="428"/>
      <c r="AI71" s="428"/>
      <c r="AJ71" s="428"/>
    </row>
    <row r="72" spans="1:57" ht="18" customHeight="1">
      <c r="B72" s="468" t="s">
        <v>13</v>
      </c>
      <c r="C72" s="284"/>
      <c r="D72" s="284"/>
      <c r="E72" s="300" t="s">
        <v>232</v>
      </c>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300"/>
      <c r="AE72" s="127" t="s">
        <v>198</v>
      </c>
      <c r="AF72" s="234">
        <f>IF(OR(AE21="",AE72=""),0,ROUND((AF42/220*1.5)*(7*4.345)/2,2))</f>
        <v>361.93</v>
      </c>
      <c r="AG72" s="428"/>
      <c r="AH72" s="428"/>
      <c r="AI72" s="428"/>
      <c r="AJ72" s="428"/>
      <c r="AK72" s="62"/>
    </row>
    <row r="73" spans="1:57" ht="18" customHeight="1">
      <c r="B73" s="468" t="s">
        <v>37</v>
      </c>
      <c r="C73" s="284"/>
      <c r="D73" s="284"/>
      <c r="E73" s="300" t="s">
        <v>52</v>
      </c>
      <c r="F73" s="300"/>
      <c r="G73" s="300"/>
      <c r="H73" s="300"/>
      <c r="I73" s="300"/>
      <c r="J73" s="300"/>
      <c r="K73" s="300"/>
      <c r="L73" s="300"/>
      <c r="M73" s="300"/>
      <c r="N73" s="300"/>
      <c r="O73" s="300"/>
      <c r="P73" s="300"/>
      <c r="Q73" s="300"/>
      <c r="R73" s="300"/>
      <c r="S73" s="300"/>
      <c r="T73" s="300"/>
      <c r="U73" s="300"/>
      <c r="V73" s="300"/>
      <c r="W73" s="300"/>
      <c r="X73" s="300"/>
      <c r="Y73" s="300"/>
      <c r="Z73" s="300"/>
      <c r="AA73" s="300"/>
      <c r="AB73" s="300"/>
      <c r="AC73" s="300"/>
      <c r="AD73" s="300"/>
      <c r="AE73" s="140"/>
      <c r="AF73" s="226">
        <v>0</v>
      </c>
      <c r="AG73" s="428"/>
      <c r="AH73" s="428"/>
      <c r="AI73" s="428"/>
      <c r="AJ73" s="428"/>
    </row>
    <row r="74" spans="1:57" ht="18" customHeight="1">
      <c r="B74" s="468" t="s">
        <v>43</v>
      </c>
      <c r="C74" s="284"/>
      <c r="D74" s="284"/>
      <c r="E74" s="358" t="s">
        <v>233</v>
      </c>
      <c r="F74" s="358"/>
      <c r="G74" s="358"/>
      <c r="H74" s="492" t="s">
        <v>327</v>
      </c>
      <c r="I74" s="492"/>
      <c r="J74" s="492"/>
      <c r="K74" s="492"/>
      <c r="L74" s="492"/>
      <c r="M74" s="492"/>
      <c r="N74" s="492"/>
      <c r="O74" s="492"/>
      <c r="P74" s="492"/>
      <c r="Q74" s="492"/>
      <c r="R74" s="492"/>
      <c r="S74" s="492"/>
      <c r="T74" s="492"/>
      <c r="U74" s="492"/>
      <c r="V74" s="492"/>
      <c r="W74" s="492"/>
      <c r="X74" s="492"/>
      <c r="Y74" s="492"/>
      <c r="Z74" s="492"/>
      <c r="AA74" s="492"/>
      <c r="AB74" s="492"/>
      <c r="AC74" s="492"/>
      <c r="AD74" s="492"/>
      <c r="AE74" s="140"/>
      <c r="AF74" s="226">
        <v>0</v>
      </c>
      <c r="AG74" s="428"/>
      <c r="AH74" s="428"/>
      <c r="AI74" s="428"/>
      <c r="AJ74" s="428"/>
    </row>
    <row r="75" spans="1:57" ht="18" customHeight="1" thickBot="1">
      <c r="A75" s="9"/>
      <c r="B75" s="221" t="s">
        <v>54</v>
      </c>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222"/>
      <c r="AB75" s="222"/>
      <c r="AC75" s="222"/>
      <c r="AD75" s="222"/>
      <c r="AE75" s="244"/>
      <c r="AF75" s="245">
        <f>SUM(AF67:AF73)</f>
        <v>1077.01</v>
      </c>
    </row>
    <row r="76" spans="1:57" ht="13.5" thickBot="1">
      <c r="AI76" s="10"/>
    </row>
    <row r="77" spans="1:57" ht="15.75" customHeight="1">
      <c r="B77" s="246" t="s">
        <v>234</v>
      </c>
      <c r="C77" s="247"/>
      <c r="D77" s="247"/>
      <c r="E77" s="247"/>
      <c r="F77" s="247"/>
      <c r="G77" s="247"/>
      <c r="H77" s="247"/>
      <c r="I77" s="247"/>
      <c r="J77" s="247"/>
      <c r="K77" s="247"/>
      <c r="L77" s="247"/>
      <c r="M77" s="247"/>
      <c r="N77" s="247"/>
      <c r="O77" s="247"/>
      <c r="P77" s="247"/>
      <c r="Q77" s="247"/>
      <c r="R77" s="247"/>
      <c r="S77" s="247"/>
      <c r="T77" s="247"/>
      <c r="U77" s="247"/>
      <c r="V77" s="247"/>
      <c r="W77" s="247"/>
      <c r="X77" s="247"/>
      <c r="Y77" s="247"/>
      <c r="Z77" s="247"/>
      <c r="AA77" s="247"/>
      <c r="AB77" s="247"/>
      <c r="AC77" s="247"/>
      <c r="AD77" s="247"/>
      <c r="AE77" s="470" t="s">
        <v>203</v>
      </c>
      <c r="AF77" s="471"/>
    </row>
    <row r="78" spans="1:57" ht="15.75" customHeight="1">
      <c r="B78" s="493">
        <v>2</v>
      </c>
      <c r="C78" s="494"/>
      <c r="D78" s="494"/>
      <c r="E78" s="495" t="s">
        <v>235</v>
      </c>
      <c r="F78" s="495"/>
      <c r="G78" s="495"/>
      <c r="H78" s="495"/>
      <c r="I78" s="495"/>
      <c r="J78" s="495"/>
      <c r="K78" s="495"/>
      <c r="L78" s="495"/>
      <c r="M78" s="495"/>
      <c r="N78" s="495"/>
      <c r="O78" s="495"/>
      <c r="P78" s="495"/>
      <c r="Q78" s="495"/>
      <c r="R78" s="495"/>
      <c r="S78" s="495"/>
      <c r="T78" s="495"/>
      <c r="U78" s="495"/>
      <c r="V78" s="495"/>
      <c r="W78" s="495"/>
      <c r="X78" s="495"/>
      <c r="Y78" s="495"/>
      <c r="Z78" s="495"/>
      <c r="AA78" s="495"/>
      <c r="AB78" s="495"/>
      <c r="AC78" s="495"/>
      <c r="AD78" s="495"/>
      <c r="AE78" s="100" t="s">
        <v>31</v>
      </c>
      <c r="AF78" s="248" t="s">
        <v>164</v>
      </c>
    </row>
    <row r="79" spans="1:57" ht="15.75" customHeight="1">
      <c r="B79" s="479" t="s">
        <v>212</v>
      </c>
      <c r="C79" s="480"/>
      <c r="D79" s="480"/>
      <c r="E79" s="481" t="str">
        <f>E47</f>
        <v>13º Salário, Férias e Adicional de Férias</v>
      </c>
      <c r="F79" s="481"/>
      <c r="G79" s="481"/>
      <c r="H79" s="481"/>
      <c r="I79" s="481"/>
      <c r="J79" s="481"/>
      <c r="K79" s="481"/>
      <c r="L79" s="481"/>
      <c r="M79" s="481"/>
      <c r="N79" s="481"/>
      <c r="O79" s="481"/>
      <c r="P79" s="481"/>
      <c r="Q79" s="481"/>
      <c r="R79" s="481"/>
      <c r="S79" s="481"/>
      <c r="T79" s="481"/>
      <c r="U79" s="481"/>
      <c r="V79" s="481"/>
      <c r="W79" s="481"/>
      <c r="X79" s="481"/>
      <c r="Y79" s="481"/>
      <c r="Z79" s="481"/>
      <c r="AA79" s="481"/>
      <c r="AB79" s="481"/>
      <c r="AC79" s="481"/>
      <c r="AD79" s="481"/>
      <c r="AE79" s="84">
        <f t="shared" ref="AE79:AE80" si="1">IF(AF$42=0,"",AF79/AF$42)</f>
        <v>0.20433338967561171</v>
      </c>
      <c r="AF79" s="234">
        <f>AF50</f>
        <v>713.24</v>
      </c>
    </row>
    <row r="80" spans="1:57" ht="15.75" customHeight="1">
      <c r="B80" s="479" t="s">
        <v>218</v>
      </c>
      <c r="C80" s="480"/>
      <c r="D80" s="480"/>
      <c r="E80" s="481" t="str">
        <f>E53</f>
        <v>GPS, FGTS e outras contribuições</v>
      </c>
      <c r="F80" s="481"/>
      <c r="G80" s="481"/>
      <c r="H80" s="481"/>
      <c r="I80" s="481"/>
      <c r="J80" s="481"/>
      <c r="K80" s="481"/>
      <c r="L80" s="481"/>
      <c r="M80" s="481"/>
      <c r="N80" s="481"/>
      <c r="O80" s="481"/>
      <c r="P80" s="481"/>
      <c r="Q80" s="481"/>
      <c r="R80" s="481"/>
      <c r="S80" s="481"/>
      <c r="T80" s="481"/>
      <c r="U80" s="481"/>
      <c r="V80" s="481"/>
      <c r="W80" s="481"/>
      <c r="X80" s="481"/>
      <c r="Y80" s="481"/>
      <c r="Z80" s="481"/>
      <c r="AA80" s="481"/>
      <c r="AB80" s="481"/>
      <c r="AC80" s="481"/>
      <c r="AD80" s="481"/>
      <c r="AE80" s="84">
        <f t="shared" si="1"/>
        <v>0.44319409150940964</v>
      </c>
      <c r="AF80" s="234">
        <f>AF63</f>
        <v>1547</v>
      </c>
    </row>
    <row r="81" spans="2:37" ht="15.75" customHeight="1">
      <c r="B81" s="479" t="s">
        <v>225</v>
      </c>
      <c r="C81" s="480"/>
      <c r="D81" s="480"/>
      <c r="E81" s="481" t="str">
        <f>E66</f>
        <v>Benefícios Mensais e Diários</v>
      </c>
      <c r="F81" s="481"/>
      <c r="G81" s="481"/>
      <c r="H81" s="481"/>
      <c r="I81" s="481"/>
      <c r="J81" s="481"/>
      <c r="K81" s="481"/>
      <c r="L81" s="481"/>
      <c r="M81" s="481"/>
      <c r="N81" s="481"/>
      <c r="O81" s="481"/>
      <c r="P81" s="481"/>
      <c r="Q81" s="481"/>
      <c r="R81" s="481"/>
      <c r="S81" s="481"/>
      <c r="T81" s="481"/>
      <c r="U81" s="481"/>
      <c r="V81" s="481"/>
      <c r="W81" s="481"/>
      <c r="X81" s="481"/>
      <c r="Y81" s="481"/>
      <c r="Z81" s="481"/>
      <c r="AA81" s="481"/>
      <c r="AB81" s="481"/>
      <c r="AC81" s="481"/>
      <c r="AD81" s="481"/>
      <c r="AE81" s="84">
        <f>IF(AF$42=0,"",AF81/AF$42)</f>
        <v>0.30854846056661234</v>
      </c>
      <c r="AF81" s="234">
        <f>AF75</f>
        <v>1077.01</v>
      </c>
    </row>
    <row r="82" spans="2:37" ht="15.75" customHeight="1" thickBot="1">
      <c r="B82" s="497" t="s">
        <v>75</v>
      </c>
      <c r="C82" s="498"/>
      <c r="D82" s="498"/>
      <c r="E82" s="498"/>
      <c r="F82" s="498"/>
      <c r="G82" s="498"/>
      <c r="H82" s="498"/>
      <c r="I82" s="498"/>
      <c r="J82" s="498"/>
      <c r="K82" s="498"/>
      <c r="L82" s="498"/>
      <c r="M82" s="498"/>
      <c r="N82" s="498"/>
      <c r="O82" s="498"/>
      <c r="P82" s="498"/>
      <c r="Q82" s="498"/>
      <c r="R82" s="498"/>
      <c r="S82" s="498"/>
      <c r="T82" s="498"/>
      <c r="U82" s="498"/>
      <c r="V82" s="498"/>
      <c r="W82" s="498"/>
      <c r="X82" s="498"/>
      <c r="Y82" s="498"/>
      <c r="Z82" s="498"/>
      <c r="AA82" s="498"/>
      <c r="AB82" s="498"/>
      <c r="AC82" s="498"/>
      <c r="AD82" s="498"/>
      <c r="AE82" s="235">
        <f>IF(AF$42=0,"",AF82/AF$42)</f>
        <v>0.95607594175163368</v>
      </c>
      <c r="AF82" s="236">
        <f>SUM(AF79:AF81)</f>
        <v>3337.25</v>
      </c>
    </row>
    <row r="83" spans="2:37" ht="13.5" thickBot="1"/>
    <row r="84" spans="2:37" ht="24" customHeight="1" thickBot="1">
      <c r="B84" s="518" t="s">
        <v>236</v>
      </c>
      <c r="C84" s="519"/>
      <c r="D84" s="519"/>
      <c r="E84" s="519"/>
      <c r="F84" s="519"/>
      <c r="G84" s="519"/>
      <c r="H84" s="519"/>
      <c r="I84" s="519"/>
      <c r="J84" s="519"/>
      <c r="K84" s="519"/>
      <c r="L84" s="519"/>
      <c r="M84" s="519"/>
      <c r="N84" s="519"/>
      <c r="O84" s="519"/>
      <c r="P84" s="519"/>
      <c r="Q84" s="519"/>
      <c r="R84" s="519"/>
      <c r="S84" s="519"/>
      <c r="T84" s="519"/>
      <c r="U84" s="519"/>
      <c r="V84" s="519"/>
      <c r="W84" s="519"/>
      <c r="X84" s="519"/>
      <c r="Y84" s="519"/>
      <c r="Z84" s="519"/>
      <c r="AA84" s="519"/>
      <c r="AB84" s="519"/>
      <c r="AC84" s="519"/>
      <c r="AD84" s="519"/>
      <c r="AE84" s="519"/>
      <c r="AF84" s="520"/>
    </row>
    <row r="85" spans="2:37" ht="13.5" thickBot="1"/>
    <row r="86" spans="2:37" ht="18.75" customHeight="1">
      <c r="B86" s="472">
        <v>3</v>
      </c>
      <c r="C86" s="473"/>
      <c r="D86" s="473"/>
      <c r="E86" s="240" t="s">
        <v>237</v>
      </c>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2" t="s">
        <v>31</v>
      </c>
      <c r="AF86" s="217" t="s">
        <v>24</v>
      </c>
    </row>
    <row r="87" spans="2:37" ht="20.25" customHeight="1">
      <c r="B87" s="479" t="s">
        <v>7</v>
      </c>
      <c r="C87" s="480"/>
      <c r="D87" s="480"/>
      <c r="E87" s="496" t="s">
        <v>238</v>
      </c>
      <c r="F87" s="496"/>
      <c r="G87" s="496"/>
      <c r="H87" s="496"/>
      <c r="I87" s="496"/>
      <c r="J87" s="496"/>
      <c r="K87" s="496"/>
      <c r="L87" s="496"/>
      <c r="M87" s="496"/>
      <c r="N87" s="496"/>
      <c r="O87" s="496"/>
      <c r="P87" s="496"/>
      <c r="Q87" s="496"/>
      <c r="R87" s="496"/>
      <c r="S87" s="496"/>
      <c r="T87" s="496"/>
      <c r="U87" s="496"/>
      <c r="V87" s="496"/>
      <c r="W87" s="496"/>
      <c r="X87" s="496"/>
      <c r="Y87" s="496"/>
      <c r="Z87" s="496"/>
      <c r="AA87" s="496"/>
      <c r="AB87" s="496"/>
      <c r="AC87" s="496"/>
      <c r="AD87" s="132">
        <v>0.05</v>
      </c>
      <c r="AE87" s="84">
        <f>(1/12*$AD87)</f>
        <v>4.1666666666666666E-3</v>
      </c>
      <c r="AF87" s="230">
        <f>ROUND(AE87*AF42,2)</f>
        <v>14.54</v>
      </c>
    </row>
    <row r="88" spans="2:37" ht="20.25" customHeight="1">
      <c r="B88" s="479" t="s">
        <v>9</v>
      </c>
      <c r="C88" s="480"/>
      <c r="D88" s="480"/>
      <c r="E88" s="487" t="s">
        <v>239</v>
      </c>
      <c r="F88" s="487"/>
      <c r="G88" s="487"/>
      <c r="H88" s="487"/>
      <c r="I88" s="487"/>
      <c r="J88" s="487"/>
      <c r="K88" s="487"/>
      <c r="L88" s="487"/>
      <c r="M88" s="487"/>
      <c r="N88" s="487"/>
      <c r="O88" s="487"/>
      <c r="P88" s="487"/>
      <c r="Q88" s="487"/>
      <c r="R88" s="487"/>
      <c r="S88" s="487"/>
      <c r="T88" s="487"/>
      <c r="U88" s="487"/>
      <c r="V88" s="487"/>
      <c r="W88" s="487"/>
      <c r="X88" s="487"/>
      <c r="Y88" s="487"/>
      <c r="Z88" s="487"/>
      <c r="AA88" s="487"/>
      <c r="AB88" s="487"/>
      <c r="AC88" s="487"/>
      <c r="AD88" s="487"/>
      <c r="AE88" s="84">
        <v>0.08</v>
      </c>
      <c r="AF88" s="230">
        <f>ROUND(AF87*AE88,2)</f>
        <v>1.1599999999999999</v>
      </c>
      <c r="AI88" s="62"/>
    </row>
    <row r="89" spans="2:37" ht="20.25" customHeight="1">
      <c r="B89" s="479" t="s">
        <v>11</v>
      </c>
      <c r="C89" s="480"/>
      <c r="D89" s="480"/>
      <c r="E89" s="487" t="s">
        <v>240</v>
      </c>
      <c r="F89" s="487"/>
      <c r="G89" s="487"/>
      <c r="H89" s="487"/>
      <c r="I89" s="487"/>
      <c r="J89" s="487"/>
      <c r="K89" s="487"/>
      <c r="L89" s="487"/>
      <c r="M89" s="487"/>
      <c r="N89" s="487"/>
      <c r="O89" s="487"/>
      <c r="P89" s="487"/>
      <c r="Q89" s="487"/>
      <c r="R89" s="487"/>
      <c r="S89" s="487"/>
      <c r="T89" s="487"/>
      <c r="U89" s="487"/>
      <c r="V89" s="487"/>
      <c r="W89" s="487"/>
      <c r="X89" s="487"/>
      <c r="Y89" s="487"/>
      <c r="Z89" s="487"/>
      <c r="AA89" s="487"/>
      <c r="AB89" s="487"/>
      <c r="AC89" s="487"/>
      <c r="AD89" s="487"/>
      <c r="AE89" s="84">
        <f>0.5*AD87*AE88</f>
        <v>2E-3</v>
      </c>
      <c r="AF89" s="243">
        <f>ROUND(AF$42*AE89,2)</f>
        <v>6.98</v>
      </c>
    </row>
    <row r="90" spans="2:37" ht="20.25" customHeight="1">
      <c r="B90" s="479" t="s">
        <v>13</v>
      </c>
      <c r="C90" s="480"/>
      <c r="D90" s="480"/>
      <c r="E90" s="496" t="s">
        <v>241</v>
      </c>
      <c r="F90" s="496"/>
      <c r="G90" s="496"/>
      <c r="H90" s="496"/>
      <c r="I90" s="496"/>
      <c r="J90" s="496"/>
      <c r="K90" s="496"/>
      <c r="L90" s="496"/>
      <c r="M90" s="496"/>
      <c r="N90" s="496"/>
      <c r="O90" s="496"/>
      <c r="P90" s="496"/>
      <c r="Q90" s="496"/>
      <c r="R90" s="496"/>
      <c r="S90" s="496"/>
      <c r="T90" s="496"/>
      <c r="U90" s="496"/>
      <c r="V90" s="496"/>
      <c r="W90" s="496"/>
      <c r="X90" s="496"/>
      <c r="Y90" s="496"/>
      <c r="Z90" s="496"/>
      <c r="AA90" s="496"/>
      <c r="AB90" s="496"/>
      <c r="AC90" s="496"/>
      <c r="AD90" s="133">
        <f>1-AD87</f>
        <v>0.95</v>
      </c>
      <c r="AE90" s="84">
        <f>7/30/12</f>
        <v>1.9444444444444445E-2</v>
      </c>
      <c r="AF90" s="230">
        <f>ROUND(AE90*AF42,2)</f>
        <v>67.87</v>
      </c>
    </row>
    <row r="91" spans="2:37" ht="20.25" customHeight="1">
      <c r="B91" s="479" t="s">
        <v>37</v>
      </c>
      <c r="C91" s="480"/>
      <c r="D91" s="480"/>
      <c r="E91" s="487" t="s">
        <v>242</v>
      </c>
      <c r="F91" s="487"/>
      <c r="G91" s="487"/>
      <c r="H91" s="487"/>
      <c r="I91" s="487"/>
      <c r="J91" s="487"/>
      <c r="K91" s="487"/>
      <c r="L91" s="487"/>
      <c r="M91" s="487"/>
      <c r="N91" s="487"/>
      <c r="O91" s="487"/>
      <c r="P91" s="487"/>
      <c r="Q91" s="487"/>
      <c r="R91" s="487"/>
      <c r="S91" s="487"/>
      <c r="T91" s="487"/>
      <c r="U91" s="487"/>
      <c r="V91" s="487"/>
      <c r="W91" s="487"/>
      <c r="X91" s="487"/>
      <c r="Y91" s="487"/>
      <c r="Z91" s="487"/>
      <c r="AA91" s="487"/>
      <c r="AB91" s="487"/>
      <c r="AC91" s="487"/>
      <c r="AD91" s="487"/>
      <c r="AE91" s="84">
        <f>AE63</f>
        <v>0.36800000000000005</v>
      </c>
      <c r="AF91" s="230">
        <f>ROUND(AF90*AE63,2)</f>
        <v>24.98</v>
      </c>
    </row>
    <row r="92" spans="2:37" ht="20.25" customHeight="1">
      <c r="B92" s="479" t="s">
        <v>39</v>
      </c>
      <c r="C92" s="480"/>
      <c r="D92" s="480"/>
      <c r="E92" s="487" t="s">
        <v>243</v>
      </c>
      <c r="F92" s="487"/>
      <c r="G92" s="487"/>
      <c r="H92" s="487"/>
      <c r="I92" s="487"/>
      <c r="J92" s="487"/>
      <c r="K92" s="487"/>
      <c r="L92" s="487"/>
      <c r="M92" s="487"/>
      <c r="N92" s="487"/>
      <c r="O92" s="487"/>
      <c r="P92" s="487"/>
      <c r="Q92" s="487"/>
      <c r="R92" s="487"/>
      <c r="S92" s="487"/>
      <c r="T92" s="487"/>
      <c r="U92" s="487"/>
      <c r="V92" s="487"/>
      <c r="W92" s="487"/>
      <c r="X92" s="487"/>
      <c r="Y92" s="487"/>
      <c r="Z92" s="487"/>
      <c r="AA92" s="487"/>
      <c r="AB92" s="487"/>
      <c r="AC92" s="487"/>
      <c r="AD92" s="487"/>
      <c r="AE92" s="84">
        <f>0.08*0.5*AD90</f>
        <v>3.7999999999999999E-2</v>
      </c>
      <c r="AF92" s="243">
        <f>ROUND(AE92*AF$42,2)</f>
        <v>132.63999999999999</v>
      </c>
      <c r="AK92" s="63"/>
    </row>
    <row r="93" spans="2:37" ht="24" customHeight="1" thickBot="1">
      <c r="B93" s="488" t="s">
        <v>75</v>
      </c>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c r="AE93" s="223">
        <f>IF(AF$42=0,"",AF93/AF$42)</f>
        <v>7.1097270646341429E-2</v>
      </c>
      <c r="AF93" s="239">
        <f>SUM(AF87:AF92)</f>
        <v>248.17000000000002</v>
      </c>
      <c r="AG93" s="64"/>
    </row>
    <row r="94" spans="2:37" ht="12.75" customHeight="1" thickBot="1"/>
    <row r="95" spans="2:37" ht="24" customHeight="1" thickBot="1">
      <c r="B95" s="518" t="s">
        <v>244</v>
      </c>
      <c r="C95" s="519"/>
      <c r="D95" s="519"/>
      <c r="E95" s="519"/>
      <c r="F95" s="519"/>
      <c r="G95" s="519"/>
      <c r="H95" s="519"/>
      <c r="I95" s="519"/>
      <c r="J95" s="519"/>
      <c r="K95" s="519"/>
      <c r="L95" s="519"/>
      <c r="M95" s="519"/>
      <c r="N95" s="519"/>
      <c r="O95" s="519"/>
      <c r="P95" s="519"/>
      <c r="Q95" s="519"/>
      <c r="R95" s="519"/>
      <c r="S95" s="519"/>
      <c r="T95" s="519"/>
      <c r="U95" s="519"/>
      <c r="V95" s="519"/>
      <c r="W95" s="519"/>
      <c r="X95" s="519"/>
      <c r="Y95" s="519"/>
      <c r="Z95" s="519"/>
      <c r="AA95" s="519"/>
      <c r="AB95" s="519"/>
      <c r="AC95" s="519"/>
      <c r="AD95" s="519"/>
      <c r="AE95" s="519"/>
      <c r="AF95" s="520"/>
    </row>
    <row r="96" spans="2:37" ht="13.5" thickBot="1"/>
    <row r="97" spans="2:37" ht="29.25" customHeight="1">
      <c r="B97" s="227" t="s">
        <v>245</v>
      </c>
      <c r="C97" s="228"/>
      <c r="D97" s="228"/>
      <c r="E97" s="228"/>
      <c r="F97" s="228"/>
      <c r="G97" s="228"/>
      <c r="H97" s="228"/>
      <c r="I97" s="228"/>
      <c r="J97" s="228"/>
      <c r="K97" s="228"/>
      <c r="L97" s="228"/>
      <c r="M97" s="228"/>
      <c r="N97" s="228"/>
      <c r="O97" s="228"/>
      <c r="P97" s="228"/>
      <c r="Q97" s="228"/>
      <c r="R97" s="228"/>
      <c r="S97" s="228"/>
      <c r="T97" s="228"/>
      <c r="U97" s="228"/>
      <c r="V97" s="228"/>
      <c r="W97" s="228"/>
      <c r="X97" s="228"/>
      <c r="Y97" s="228"/>
      <c r="Z97" s="228"/>
      <c r="AA97" s="228"/>
      <c r="AB97" s="228"/>
      <c r="AC97" s="228"/>
      <c r="AD97" s="228"/>
      <c r="AE97" s="237" t="s">
        <v>246</v>
      </c>
      <c r="AF97" s="238">
        <f>AF42+AF82+AF93</f>
        <v>7075.99</v>
      </c>
    </row>
    <row r="98" spans="2:37" ht="21" customHeight="1">
      <c r="B98" s="476" t="s">
        <v>65</v>
      </c>
      <c r="C98" s="477"/>
      <c r="D98" s="477"/>
      <c r="E98" s="77" t="s">
        <v>247</v>
      </c>
      <c r="F98" s="78"/>
      <c r="G98" s="78"/>
      <c r="H98" s="78"/>
      <c r="I98" s="78"/>
      <c r="J98" s="78"/>
      <c r="K98" s="78"/>
      <c r="L98" s="78"/>
      <c r="M98" s="78"/>
      <c r="N98" s="78"/>
      <c r="O98" s="78"/>
      <c r="P98" s="78"/>
      <c r="Q98" s="78"/>
      <c r="R98" s="78"/>
      <c r="S98" s="78"/>
      <c r="T98" s="78"/>
      <c r="U98" s="78"/>
      <c r="V98" s="78"/>
      <c r="W98" s="78"/>
      <c r="X98" s="78"/>
      <c r="Y98" s="78"/>
      <c r="Z98" s="78"/>
      <c r="AA98" s="78"/>
      <c r="AB98" s="78"/>
      <c r="AC98" s="78"/>
      <c r="AD98" s="100" t="s">
        <v>248</v>
      </c>
      <c r="AE98" s="82" t="s">
        <v>31</v>
      </c>
      <c r="AF98" s="229" t="s">
        <v>24</v>
      </c>
    </row>
    <row r="99" spans="2:37" ht="21" customHeight="1">
      <c r="B99" s="479" t="s">
        <v>7</v>
      </c>
      <c r="C99" s="480"/>
      <c r="D99" s="480"/>
      <c r="E99" s="496" t="s">
        <v>249</v>
      </c>
      <c r="F99" s="496"/>
      <c r="G99" s="496"/>
      <c r="H99" s="496"/>
      <c r="I99" s="496"/>
      <c r="J99" s="496"/>
      <c r="K99" s="496"/>
      <c r="L99" s="496"/>
      <c r="M99" s="496"/>
      <c r="N99" s="496"/>
      <c r="O99" s="496"/>
      <c r="P99" s="496"/>
      <c r="Q99" s="496"/>
      <c r="R99" s="496"/>
      <c r="S99" s="496"/>
      <c r="T99" s="496"/>
      <c r="U99" s="496"/>
      <c r="V99" s="496"/>
      <c r="W99" s="496"/>
      <c r="X99" s="496"/>
      <c r="Y99" s="496"/>
      <c r="Z99" s="496"/>
      <c r="AA99" s="496"/>
      <c r="AB99" s="496"/>
      <c r="AC99" s="496"/>
      <c r="AD99" s="65" t="s">
        <v>33</v>
      </c>
      <c r="AE99" s="84">
        <f>((1+1/3)/12)/12</f>
        <v>9.2592592592592587E-3</v>
      </c>
      <c r="AF99" s="230">
        <f>AE99*AF97</f>
        <v>65.518425925925925</v>
      </c>
      <c r="AI99" s="55"/>
      <c r="AK99" s="62"/>
    </row>
    <row r="100" spans="2:37" ht="21" customHeight="1">
      <c r="B100" s="468" t="s">
        <v>9</v>
      </c>
      <c r="C100" s="284"/>
      <c r="D100" s="284"/>
      <c r="E100" s="496" t="s">
        <v>250</v>
      </c>
      <c r="F100" s="496"/>
      <c r="G100" s="496"/>
      <c r="H100" s="496"/>
      <c r="I100" s="496"/>
      <c r="J100" s="496"/>
      <c r="K100" s="496"/>
      <c r="L100" s="496"/>
      <c r="M100" s="496"/>
      <c r="N100" s="496"/>
      <c r="O100" s="496"/>
      <c r="P100" s="496"/>
      <c r="Q100" s="496"/>
      <c r="R100" s="496"/>
      <c r="S100" s="496"/>
      <c r="T100" s="496"/>
      <c r="U100" s="496"/>
      <c r="V100" s="496"/>
      <c r="W100" s="496"/>
      <c r="X100" s="496"/>
      <c r="Y100" s="496"/>
      <c r="Z100" s="496"/>
      <c r="AA100" s="496"/>
      <c r="AB100" s="496"/>
      <c r="AC100" s="496"/>
      <c r="AD100" s="134">
        <v>2</v>
      </c>
      <c r="AE100" s="180">
        <f>((AD100/30)/12)</f>
        <v>5.5555555555555558E-3</v>
      </c>
      <c r="AF100" s="230">
        <f>ROUND(AE100*AF$97,2)</f>
        <v>39.31</v>
      </c>
    </row>
    <row r="101" spans="2:37" ht="21" customHeight="1">
      <c r="B101" s="468" t="s">
        <v>11</v>
      </c>
      <c r="C101" s="284"/>
      <c r="D101" s="284"/>
      <c r="E101" s="496" t="s">
        <v>251</v>
      </c>
      <c r="F101" s="496"/>
      <c r="G101" s="496"/>
      <c r="H101" s="496"/>
      <c r="I101" s="496"/>
      <c r="J101" s="496"/>
      <c r="K101" s="496"/>
      <c r="L101" s="496"/>
      <c r="M101" s="496"/>
      <c r="N101" s="496"/>
      <c r="O101" s="496"/>
      <c r="P101" s="496"/>
      <c r="Q101" s="496"/>
      <c r="R101" s="496"/>
      <c r="S101" s="496"/>
      <c r="T101" s="496"/>
      <c r="U101" s="496"/>
      <c r="V101" s="496"/>
      <c r="W101" s="496"/>
      <c r="X101" s="496"/>
      <c r="Y101" s="496"/>
      <c r="Z101" s="496"/>
      <c r="AA101" s="496"/>
      <c r="AB101" s="496"/>
      <c r="AC101" s="496"/>
      <c r="AD101" s="135">
        <v>0.02</v>
      </c>
      <c r="AE101" s="180">
        <f>((20/30)/12)*AD101</f>
        <v>1.1111111111111111E-3</v>
      </c>
      <c r="AF101" s="230">
        <f>ROUND(AE101*AF$97,2)</f>
        <v>7.86</v>
      </c>
    </row>
    <row r="102" spans="2:37" ht="21" customHeight="1">
      <c r="B102" s="468" t="s">
        <v>13</v>
      </c>
      <c r="C102" s="284"/>
      <c r="D102" s="284"/>
      <c r="E102" s="496" t="s">
        <v>252</v>
      </c>
      <c r="F102" s="496"/>
      <c r="G102" s="496"/>
      <c r="H102" s="496"/>
      <c r="I102" s="496"/>
      <c r="J102" s="496"/>
      <c r="K102" s="496"/>
      <c r="L102" s="496"/>
      <c r="M102" s="496"/>
      <c r="N102" s="496"/>
      <c r="O102" s="496"/>
      <c r="P102" s="496"/>
      <c r="Q102" s="496"/>
      <c r="R102" s="496"/>
      <c r="S102" s="496"/>
      <c r="T102" s="496"/>
      <c r="U102" s="496"/>
      <c r="V102" s="496"/>
      <c r="W102" s="496"/>
      <c r="X102" s="496"/>
      <c r="Y102" s="496"/>
      <c r="Z102" s="496"/>
      <c r="AA102" s="496"/>
      <c r="AB102" s="496"/>
      <c r="AC102" s="496"/>
      <c r="AD102" s="135">
        <v>0.08</v>
      </c>
      <c r="AE102" s="180">
        <f>((15/30)/12)*AD102</f>
        <v>3.3333333333333331E-3</v>
      </c>
      <c r="AF102" s="230">
        <f>ROUND(AE102*AF$97,2)</f>
        <v>23.59</v>
      </c>
    </row>
    <row r="103" spans="2:37" ht="21" customHeight="1">
      <c r="B103" s="468" t="s">
        <v>37</v>
      </c>
      <c r="C103" s="284"/>
      <c r="D103" s="284"/>
      <c r="E103" s="496" t="s">
        <v>253</v>
      </c>
      <c r="F103" s="496"/>
      <c r="G103" s="496"/>
      <c r="H103" s="496"/>
      <c r="I103" s="496"/>
      <c r="J103" s="496"/>
      <c r="K103" s="496"/>
      <c r="L103" s="496"/>
      <c r="M103" s="496"/>
      <c r="N103" s="496"/>
      <c r="O103" s="496"/>
      <c r="P103" s="496"/>
      <c r="Q103" s="496"/>
      <c r="R103" s="496"/>
      <c r="S103" s="496"/>
      <c r="T103" s="496"/>
      <c r="U103" s="496"/>
      <c r="V103" s="496"/>
      <c r="W103" s="496"/>
      <c r="X103" s="496"/>
      <c r="Y103" s="496"/>
      <c r="Z103" s="496"/>
      <c r="AA103" s="496"/>
      <c r="AB103" s="496"/>
      <c r="AC103" s="496"/>
      <c r="AD103" s="135">
        <v>0.03</v>
      </c>
      <c r="AE103" s="180">
        <f>((1+1/3)/12*AD103*((4/12)))</f>
        <v>1.1111111111111109E-3</v>
      </c>
      <c r="AF103" s="230">
        <f>ROUND(AE103*AF$97,2)</f>
        <v>7.86</v>
      </c>
    </row>
    <row r="104" spans="2:37" ht="21" customHeight="1">
      <c r="B104" s="468" t="s">
        <v>39</v>
      </c>
      <c r="C104" s="284"/>
      <c r="D104" s="284"/>
      <c r="E104" s="66" t="s">
        <v>254</v>
      </c>
      <c r="F104" s="67"/>
      <c r="G104" s="67"/>
      <c r="H104" s="68"/>
      <c r="I104" s="68"/>
      <c r="J104" s="68"/>
      <c r="K104" s="68"/>
      <c r="L104" s="68"/>
      <c r="M104" s="68"/>
      <c r="N104" s="68"/>
      <c r="O104" s="68"/>
      <c r="P104" s="68"/>
      <c r="Q104" s="68"/>
      <c r="R104" s="68"/>
      <c r="S104" s="469"/>
      <c r="T104" s="469"/>
      <c r="U104" s="469"/>
      <c r="V104" s="469"/>
      <c r="W104" s="469"/>
      <c r="X104" s="469"/>
      <c r="Y104" s="469"/>
      <c r="Z104" s="469"/>
      <c r="AA104" s="469"/>
      <c r="AB104" s="469"/>
      <c r="AC104" s="469"/>
      <c r="AD104" s="134"/>
      <c r="AE104" s="180">
        <f>((AD104/30)/12)</f>
        <v>0</v>
      </c>
      <c r="AF104" s="226">
        <f>ROUND(AE104*AF$97,2)</f>
        <v>0</v>
      </c>
    </row>
    <row r="105" spans="2:37" ht="21" customHeight="1" thickBot="1">
      <c r="B105" s="483" t="s">
        <v>81</v>
      </c>
      <c r="C105" s="484"/>
      <c r="D105" s="484"/>
      <c r="E105" s="484"/>
      <c r="F105" s="484"/>
      <c r="G105" s="484"/>
      <c r="H105" s="484"/>
      <c r="I105" s="484"/>
      <c r="J105" s="484"/>
      <c r="K105" s="484"/>
      <c r="L105" s="484"/>
      <c r="M105" s="484"/>
      <c r="N105" s="484"/>
      <c r="O105" s="484"/>
      <c r="P105" s="484"/>
      <c r="Q105" s="484"/>
      <c r="R105" s="484"/>
      <c r="S105" s="484"/>
      <c r="T105" s="484"/>
      <c r="U105" s="484"/>
      <c r="V105" s="484"/>
      <c r="W105" s="484"/>
      <c r="X105" s="484"/>
      <c r="Y105" s="484"/>
      <c r="Z105" s="484"/>
      <c r="AA105" s="484"/>
      <c r="AB105" s="484"/>
      <c r="AC105" s="484"/>
      <c r="AD105" s="484"/>
      <c r="AE105" s="223">
        <f>SUM(AE99:AE104)</f>
        <v>2.0370370370370372E-2</v>
      </c>
      <c r="AF105" s="239">
        <f>SUM(AF99:AF104)</f>
        <v>144.13842592592593</v>
      </c>
    </row>
    <row r="106" spans="2:37" ht="12.75" customHeight="1" thickBot="1"/>
    <row r="107" spans="2:37" ht="29.25" customHeight="1">
      <c r="B107" s="227" t="s">
        <v>255</v>
      </c>
      <c r="C107" s="228"/>
      <c r="D107" s="228"/>
      <c r="E107" s="228"/>
      <c r="F107" s="228"/>
      <c r="G107" s="228"/>
      <c r="H107" s="228"/>
      <c r="I107" s="228"/>
      <c r="J107" s="228"/>
      <c r="K107" s="228"/>
      <c r="L107" s="228"/>
      <c r="M107" s="228"/>
      <c r="N107" s="228"/>
      <c r="O107" s="228"/>
      <c r="P107" s="228"/>
      <c r="Q107" s="228"/>
      <c r="R107" s="228"/>
      <c r="S107" s="228"/>
      <c r="T107" s="228"/>
      <c r="U107" s="228"/>
      <c r="V107" s="228"/>
      <c r="W107" s="228"/>
      <c r="X107" s="228"/>
      <c r="Y107" s="228"/>
      <c r="Z107" s="228"/>
      <c r="AA107" s="228"/>
      <c r="AB107" s="228"/>
      <c r="AC107" s="228"/>
      <c r="AD107" s="228"/>
      <c r="AE107" s="470" t="s">
        <v>203</v>
      </c>
      <c r="AF107" s="471"/>
    </row>
    <row r="108" spans="2:37" ht="18" customHeight="1">
      <c r="B108" s="476" t="s">
        <v>77</v>
      </c>
      <c r="C108" s="477"/>
      <c r="D108" s="477"/>
      <c r="E108" s="78" t="s">
        <v>256</v>
      </c>
      <c r="F108" s="78"/>
      <c r="G108" s="78"/>
      <c r="H108" s="78"/>
      <c r="I108" s="78"/>
      <c r="J108" s="78"/>
      <c r="K108" s="78"/>
      <c r="L108" s="78"/>
      <c r="M108" s="78"/>
      <c r="N108" s="78"/>
      <c r="O108" s="78"/>
      <c r="P108" s="78"/>
      <c r="Q108" s="78"/>
      <c r="R108" s="78"/>
      <c r="S108" s="78"/>
      <c r="T108" s="78"/>
      <c r="U108" s="78"/>
      <c r="V108" s="78"/>
      <c r="W108" s="78"/>
      <c r="X108" s="78"/>
      <c r="Y108" s="78"/>
      <c r="Z108" s="78"/>
      <c r="AA108" s="78"/>
      <c r="AB108" s="78"/>
      <c r="AC108" s="78"/>
      <c r="AD108" s="78"/>
      <c r="AE108" s="82" t="s">
        <v>31</v>
      </c>
      <c r="AF108" s="229" t="s">
        <v>24</v>
      </c>
    </row>
    <row r="109" spans="2:37" ht="21" customHeight="1">
      <c r="B109" s="479" t="s">
        <v>7</v>
      </c>
      <c r="C109" s="480"/>
      <c r="D109" s="480"/>
      <c r="E109" s="487" t="s">
        <v>257</v>
      </c>
      <c r="F109" s="487"/>
      <c r="G109" s="487"/>
      <c r="H109" s="487"/>
      <c r="I109" s="487"/>
      <c r="J109" s="487"/>
      <c r="K109" s="487"/>
      <c r="L109" s="487"/>
      <c r="M109" s="487"/>
      <c r="N109" s="487"/>
      <c r="O109" s="487"/>
      <c r="P109" s="487"/>
      <c r="Q109" s="487"/>
      <c r="R109" s="487"/>
      <c r="S109" s="487"/>
      <c r="T109" s="487"/>
      <c r="U109" s="487"/>
      <c r="V109" s="487"/>
      <c r="W109" s="487"/>
      <c r="X109" s="487"/>
      <c r="Y109" s="487"/>
      <c r="Z109" s="487"/>
      <c r="AA109" s="487"/>
      <c r="AB109" s="487"/>
      <c r="AC109" s="487"/>
      <c r="AD109" s="487"/>
      <c r="AE109" s="145"/>
      <c r="AF109" s="230">
        <f>IF(AE109="",0,ROUND(AF97/220*1*7*4.345/2,2))</f>
        <v>0</v>
      </c>
    </row>
    <row r="110" spans="2:37" ht="18" customHeight="1" thickBot="1">
      <c r="B110" s="483" t="s">
        <v>81</v>
      </c>
      <c r="C110" s="484"/>
      <c r="D110" s="484"/>
      <c r="E110" s="484"/>
      <c r="F110" s="484"/>
      <c r="G110" s="484"/>
      <c r="H110" s="484"/>
      <c r="I110" s="484"/>
      <c r="J110" s="484"/>
      <c r="K110" s="484"/>
      <c r="L110" s="484"/>
      <c r="M110" s="484"/>
      <c r="N110" s="484"/>
      <c r="O110" s="484"/>
      <c r="P110" s="484"/>
      <c r="Q110" s="484"/>
      <c r="R110" s="484"/>
      <c r="S110" s="484"/>
      <c r="T110" s="484"/>
      <c r="U110" s="484"/>
      <c r="V110" s="484"/>
      <c r="W110" s="484"/>
      <c r="X110" s="484"/>
      <c r="Y110" s="484"/>
      <c r="Z110" s="484"/>
      <c r="AA110" s="484"/>
      <c r="AB110" s="484"/>
      <c r="AC110" s="484"/>
      <c r="AD110" s="484"/>
      <c r="AE110" s="223" t="s">
        <v>33</v>
      </c>
      <c r="AF110" s="231">
        <f>AF109</f>
        <v>0</v>
      </c>
    </row>
    <row r="111" spans="2:37" ht="12.75" customHeight="1" thickBot="1"/>
    <row r="112" spans="2:37" ht="17.25" customHeight="1">
      <c r="B112" s="232" t="s">
        <v>258</v>
      </c>
      <c r="C112" s="233"/>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16" t="s">
        <v>31</v>
      </c>
      <c r="AF112" s="217" t="s">
        <v>24</v>
      </c>
      <c r="AH112" s="62"/>
    </row>
    <row r="113" spans="2:34" ht="17.25" customHeight="1">
      <c r="B113" s="479" t="s">
        <v>65</v>
      </c>
      <c r="C113" s="480"/>
      <c r="D113" s="480"/>
      <c r="E113" s="481" t="str">
        <f>E98</f>
        <v>Substituto nas Ausências legais</v>
      </c>
      <c r="F113" s="481"/>
      <c r="G113" s="481"/>
      <c r="H113" s="481"/>
      <c r="I113" s="481"/>
      <c r="J113" s="481"/>
      <c r="K113" s="481"/>
      <c r="L113" s="481"/>
      <c r="M113" s="481"/>
      <c r="N113" s="481"/>
      <c r="O113" s="481"/>
      <c r="P113" s="481"/>
      <c r="Q113" s="481"/>
      <c r="R113" s="481"/>
      <c r="S113" s="481"/>
      <c r="T113" s="481"/>
      <c r="U113" s="481"/>
      <c r="V113" s="481"/>
      <c r="W113" s="481"/>
      <c r="X113" s="481"/>
      <c r="Y113" s="481"/>
      <c r="Z113" s="481"/>
      <c r="AA113" s="481"/>
      <c r="AB113" s="481"/>
      <c r="AC113" s="481"/>
      <c r="AD113" s="481"/>
      <c r="AE113" s="84">
        <f>IF(AF$42=0,"",AF113/AF$42)</f>
        <v>4.1293664337321963E-2</v>
      </c>
      <c r="AF113" s="234">
        <f>AF105</f>
        <v>144.13842592592593</v>
      </c>
    </row>
    <row r="114" spans="2:34" ht="17.25" customHeight="1">
      <c r="B114" s="479" t="s">
        <v>77</v>
      </c>
      <c r="C114" s="480"/>
      <c r="D114" s="480"/>
      <c r="E114" s="481" t="str">
        <f>E108</f>
        <v>Substituto na Intrajornada</v>
      </c>
      <c r="F114" s="481"/>
      <c r="G114" s="481"/>
      <c r="H114" s="481"/>
      <c r="I114" s="481"/>
      <c r="J114" s="481"/>
      <c r="K114" s="481"/>
      <c r="L114" s="481"/>
      <c r="M114" s="481"/>
      <c r="N114" s="481"/>
      <c r="O114" s="481"/>
      <c r="P114" s="481"/>
      <c r="Q114" s="481"/>
      <c r="R114" s="481"/>
      <c r="S114" s="481"/>
      <c r="T114" s="481"/>
      <c r="U114" s="481"/>
      <c r="V114" s="481"/>
      <c r="W114" s="481"/>
      <c r="X114" s="481"/>
      <c r="Y114" s="481"/>
      <c r="Z114" s="481"/>
      <c r="AA114" s="481"/>
      <c r="AB114" s="481"/>
      <c r="AC114" s="481"/>
      <c r="AD114" s="481"/>
      <c r="AE114" s="84">
        <f>IF(AF$42=0,"",AF114/AF$42)</f>
        <v>0</v>
      </c>
      <c r="AF114" s="234">
        <f>AF110</f>
        <v>0</v>
      </c>
      <c r="AH114" s="62"/>
    </row>
    <row r="115" spans="2:34" ht="17.25" customHeight="1" thickBot="1">
      <c r="B115" s="497" t="s">
        <v>75</v>
      </c>
      <c r="C115" s="498"/>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235">
        <f>SUM(AE113:AE114)</f>
        <v>4.1293664337321963E-2</v>
      </c>
      <c r="AF115" s="236">
        <f>SUM(AF113:AF114)</f>
        <v>144.13842592592593</v>
      </c>
    </row>
    <row r="116" spans="2:34" ht="13.5" thickBot="1">
      <c r="AE116" s="69"/>
    </row>
    <row r="117" spans="2:34" ht="24" customHeight="1" thickBot="1">
      <c r="B117" s="518" t="s">
        <v>259</v>
      </c>
      <c r="C117" s="519"/>
      <c r="D117" s="519"/>
      <c r="E117" s="519"/>
      <c r="F117" s="519"/>
      <c r="G117" s="519"/>
      <c r="H117" s="519"/>
      <c r="I117" s="519"/>
      <c r="J117" s="519"/>
      <c r="K117" s="519"/>
      <c r="L117" s="519"/>
      <c r="M117" s="519"/>
      <c r="N117" s="519"/>
      <c r="O117" s="519"/>
      <c r="P117" s="519"/>
      <c r="Q117" s="519"/>
      <c r="R117" s="519"/>
      <c r="S117" s="519"/>
      <c r="T117" s="519"/>
      <c r="U117" s="519"/>
      <c r="V117" s="519"/>
      <c r="W117" s="519"/>
      <c r="X117" s="519"/>
      <c r="Y117" s="519"/>
      <c r="Z117" s="519"/>
      <c r="AA117" s="519"/>
      <c r="AB117" s="519"/>
      <c r="AC117" s="519"/>
      <c r="AD117" s="519"/>
      <c r="AE117" s="519"/>
      <c r="AF117" s="520"/>
    </row>
    <row r="118" spans="2:34" ht="12.75" customHeight="1" thickBot="1"/>
    <row r="119" spans="2:34" ht="18" customHeight="1">
      <c r="B119" s="472">
        <v>5</v>
      </c>
      <c r="C119" s="473"/>
      <c r="D119" s="473"/>
      <c r="E119" s="474" t="s">
        <v>56</v>
      </c>
      <c r="F119" s="474"/>
      <c r="G119" s="474"/>
      <c r="H119" s="474"/>
      <c r="I119" s="474"/>
      <c r="J119" s="474"/>
      <c r="K119" s="474"/>
      <c r="L119" s="474"/>
      <c r="M119" s="474"/>
      <c r="N119" s="474"/>
      <c r="O119" s="474"/>
      <c r="P119" s="474"/>
      <c r="Q119" s="474"/>
      <c r="R119" s="474"/>
      <c r="S119" s="474"/>
      <c r="T119" s="474"/>
      <c r="U119" s="474"/>
      <c r="V119" s="474"/>
      <c r="W119" s="474"/>
      <c r="X119" s="474"/>
      <c r="Y119" s="474"/>
      <c r="Z119" s="474"/>
      <c r="AA119" s="474"/>
      <c r="AB119" s="474"/>
      <c r="AC119" s="474"/>
      <c r="AD119" s="474"/>
      <c r="AE119" s="216" t="s">
        <v>31</v>
      </c>
      <c r="AF119" s="217" t="s">
        <v>24</v>
      </c>
    </row>
    <row r="120" spans="2:34" ht="25.5" customHeight="1">
      <c r="B120" s="468" t="s">
        <v>7</v>
      </c>
      <c r="C120" s="284"/>
      <c r="D120" s="284"/>
      <c r="E120" s="300" t="s">
        <v>403</v>
      </c>
      <c r="F120" s="295"/>
      <c r="G120" s="295"/>
      <c r="H120" s="295"/>
      <c r="I120" s="295"/>
      <c r="J120" s="295"/>
      <c r="K120" s="295"/>
      <c r="L120" s="295"/>
      <c r="M120" s="295"/>
      <c r="N120" s="295"/>
      <c r="O120" s="295"/>
      <c r="P120" s="295"/>
      <c r="Q120" s="295"/>
      <c r="R120" s="295"/>
      <c r="S120" s="295"/>
      <c r="T120" s="295"/>
      <c r="U120" s="295"/>
      <c r="V120" s="295"/>
      <c r="W120" s="295"/>
      <c r="X120" s="295"/>
      <c r="Y120" s="295"/>
      <c r="Z120" s="295"/>
      <c r="AA120" s="295"/>
      <c r="AB120" s="295"/>
      <c r="AC120" s="295"/>
      <c r="AD120" s="295"/>
      <c r="AE120" s="84">
        <f>IF(AF$42=0,"",AF120/AF$42)</f>
        <v>1.4921154233644743E-4</v>
      </c>
      <c r="AF120" s="225">
        <f>'VI. Insumos Diversos'!I92</f>
        <v>0.52083333333333337</v>
      </c>
    </row>
    <row r="121" spans="2:34" ht="25.5" customHeight="1">
      <c r="B121" s="468" t="s">
        <v>9</v>
      </c>
      <c r="C121" s="284"/>
      <c r="D121" s="284"/>
      <c r="E121" s="358" t="s">
        <v>406</v>
      </c>
      <c r="F121" s="359"/>
      <c r="G121" s="359"/>
      <c r="H121" s="359"/>
      <c r="I121" s="359"/>
      <c r="J121" s="359"/>
      <c r="K121" s="359"/>
      <c r="L121" s="359"/>
      <c r="M121" s="359"/>
      <c r="N121" s="359"/>
      <c r="O121" s="359"/>
      <c r="P121" s="359"/>
      <c r="Q121" s="359"/>
      <c r="R121" s="359"/>
      <c r="S121" s="359"/>
      <c r="T121" s="359"/>
      <c r="U121" s="359"/>
      <c r="V121" s="359"/>
      <c r="W121" s="359"/>
      <c r="X121" s="359"/>
      <c r="Y121" s="359"/>
      <c r="Z121" s="359"/>
      <c r="AA121" s="359"/>
      <c r="AB121" s="359"/>
      <c r="AC121" s="359"/>
      <c r="AD121" s="360"/>
      <c r="AE121" s="84">
        <f t="shared" ref="AE121:AE129" si="2">IF(AF$42=0,"",AF121/AF$42)</f>
        <v>1.4921154233644743E-2</v>
      </c>
      <c r="AF121" s="225">
        <f>'VI. Insumos Diversos'!I93</f>
        <v>52.083333333333336</v>
      </c>
    </row>
    <row r="122" spans="2:34" ht="25.5" customHeight="1">
      <c r="B122" s="468" t="s">
        <v>11</v>
      </c>
      <c r="C122" s="284"/>
      <c r="D122" s="284"/>
      <c r="E122" s="358" t="s">
        <v>404</v>
      </c>
      <c r="F122" s="359"/>
      <c r="G122" s="359"/>
      <c r="H122" s="359"/>
      <c r="I122" s="359"/>
      <c r="J122" s="359"/>
      <c r="K122" s="359"/>
      <c r="L122" s="359"/>
      <c r="M122" s="359"/>
      <c r="N122" s="359"/>
      <c r="O122" s="359"/>
      <c r="P122" s="359"/>
      <c r="Q122" s="359"/>
      <c r="R122" s="359"/>
      <c r="S122" s="359"/>
      <c r="T122" s="359"/>
      <c r="U122" s="359"/>
      <c r="V122" s="359"/>
      <c r="W122" s="359"/>
      <c r="X122" s="359"/>
      <c r="Y122" s="359"/>
      <c r="Z122" s="359"/>
      <c r="AA122" s="359"/>
      <c r="AB122" s="359"/>
      <c r="AC122" s="359"/>
      <c r="AD122" s="360"/>
      <c r="AE122" s="84">
        <f t="shared" si="2"/>
        <v>5.9684616934578966E-3</v>
      </c>
      <c r="AF122" s="225">
        <f>'VI. Insumos Diversos'!I94</f>
        <v>20.833333333333332</v>
      </c>
    </row>
    <row r="123" spans="2:34" ht="25.5" customHeight="1">
      <c r="B123" s="468" t="s">
        <v>13</v>
      </c>
      <c r="C123" s="284"/>
      <c r="D123" s="284"/>
      <c r="E123" s="358" t="s">
        <v>407</v>
      </c>
      <c r="F123" s="359"/>
      <c r="G123" s="359"/>
      <c r="H123" s="359"/>
      <c r="I123" s="359"/>
      <c r="J123" s="359"/>
      <c r="K123" s="359"/>
      <c r="L123" s="359"/>
      <c r="M123" s="359"/>
      <c r="N123" s="359"/>
      <c r="O123" s="359"/>
      <c r="P123" s="359"/>
      <c r="Q123" s="359"/>
      <c r="R123" s="359"/>
      <c r="S123" s="359"/>
      <c r="T123" s="359"/>
      <c r="U123" s="359"/>
      <c r="V123" s="359"/>
      <c r="W123" s="359"/>
      <c r="X123" s="359"/>
      <c r="Y123" s="359"/>
      <c r="Z123" s="359"/>
      <c r="AA123" s="359"/>
      <c r="AB123" s="359"/>
      <c r="AC123" s="359"/>
      <c r="AD123" s="360"/>
      <c r="AE123" s="84">
        <f t="shared" si="2"/>
        <v>1.6786298512850337E-2</v>
      </c>
      <c r="AF123" s="225">
        <f>'VI. Insumos Diversos'!I95</f>
        <v>58.59375</v>
      </c>
    </row>
    <row r="124" spans="2:34" ht="25.5" customHeight="1">
      <c r="B124" s="468" t="s">
        <v>37</v>
      </c>
      <c r="C124" s="284"/>
      <c r="D124" s="284"/>
      <c r="E124" s="358" t="s">
        <v>405</v>
      </c>
      <c r="F124" s="359"/>
      <c r="G124" s="359"/>
      <c r="H124" s="359"/>
      <c r="I124" s="359"/>
      <c r="J124" s="359"/>
      <c r="K124" s="359"/>
      <c r="L124" s="359"/>
      <c r="M124" s="359"/>
      <c r="N124" s="359"/>
      <c r="O124" s="359"/>
      <c r="P124" s="359"/>
      <c r="Q124" s="359"/>
      <c r="R124" s="359"/>
      <c r="S124" s="359"/>
      <c r="T124" s="359"/>
      <c r="U124" s="359"/>
      <c r="V124" s="359"/>
      <c r="W124" s="359"/>
      <c r="X124" s="359"/>
      <c r="Y124" s="359"/>
      <c r="Z124" s="359"/>
      <c r="AA124" s="359"/>
      <c r="AB124" s="359"/>
      <c r="AC124" s="359"/>
      <c r="AD124" s="360"/>
      <c r="AE124" s="84">
        <f t="shared" si="2"/>
        <v>2.2381731350467116E-4</v>
      </c>
      <c r="AF124" s="225">
        <f>'VI. Insumos Diversos'!I96</f>
        <v>0.78125</v>
      </c>
    </row>
    <row r="125" spans="2:34" ht="25.5" customHeight="1">
      <c r="B125" s="468" t="s">
        <v>39</v>
      </c>
      <c r="C125" s="284"/>
      <c r="D125" s="284"/>
      <c r="E125" s="358" t="s">
        <v>408</v>
      </c>
      <c r="F125" s="359"/>
      <c r="G125" s="359"/>
      <c r="H125" s="359"/>
      <c r="I125" s="359"/>
      <c r="J125" s="359"/>
      <c r="K125" s="359"/>
      <c r="L125" s="359"/>
      <c r="M125" s="359"/>
      <c r="N125" s="359"/>
      <c r="O125" s="359"/>
      <c r="P125" s="359"/>
      <c r="Q125" s="359"/>
      <c r="R125" s="359"/>
      <c r="S125" s="359"/>
      <c r="T125" s="359"/>
      <c r="U125" s="359"/>
      <c r="V125" s="359"/>
      <c r="W125" s="359"/>
      <c r="X125" s="359"/>
      <c r="Y125" s="359"/>
      <c r="Z125" s="359"/>
      <c r="AA125" s="359"/>
      <c r="AB125" s="359"/>
      <c r="AC125" s="359"/>
      <c r="AD125" s="360"/>
      <c r="AE125" s="84">
        <f t="shared" si="2"/>
        <v>4.4763462700934232E-4</v>
      </c>
      <c r="AF125" s="225">
        <f>'VI. Insumos Diversos'!I97</f>
        <v>1.5625</v>
      </c>
    </row>
    <row r="126" spans="2:34" ht="25.5" customHeight="1">
      <c r="B126" s="468" t="s">
        <v>41</v>
      </c>
      <c r="C126" s="284"/>
      <c r="D126" s="284"/>
      <c r="E126" s="358" t="s">
        <v>409</v>
      </c>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60"/>
      <c r="AE126" s="84">
        <f t="shared" si="2"/>
        <v>7.4605771168223707E-4</v>
      </c>
      <c r="AF126" s="225">
        <f>'VI. Insumos Diversos'!I98</f>
        <v>2.6041666666666665</v>
      </c>
    </row>
    <row r="127" spans="2:34" ht="25.5" customHeight="1">
      <c r="B127" s="468" t="s">
        <v>401</v>
      </c>
      <c r="C127" s="284"/>
      <c r="D127" s="284"/>
      <c r="E127" s="358" t="s">
        <v>410</v>
      </c>
      <c r="F127" s="359"/>
      <c r="G127" s="359"/>
      <c r="H127" s="359"/>
      <c r="I127" s="359"/>
      <c r="J127" s="359"/>
      <c r="K127" s="359"/>
      <c r="L127" s="359"/>
      <c r="M127" s="359"/>
      <c r="N127" s="359"/>
      <c r="O127" s="359"/>
      <c r="P127" s="359"/>
      <c r="Q127" s="359"/>
      <c r="R127" s="359"/>
      <c r="S127" s="359"/>
      <c r="T127" s="359"/>
      <c r="U127" s="359"/>
      <c r="V127" s="359"/>
      <c r="W127" s="359"/>
      <c r="X127" s="359"/>
      <c r="Y127" s="359"/>
      <c r="Z127" s="359"/>
      <c r="AA127" s="359"/>
      <c r="AB127" s="359"/>
      <c r="AC127" s="359"/>
      <c r="AD127" s="360"/>
      <c r="AE127" s="84">
        <f t="shared" si="2"/>
        <v>2.7411950865713432E-2</v>
      </c>
      <c r="AF127" s="225">
        <f>'VI. Insumos Diversos'!I99</f>
        <v>95.683333333333337</v>
      </c>
    </row>
    <row r="128" spans="2:34" ht="25.5" customHeight="1">
      <c r="B128" s="468" t="s">
        <v>396</v>
      </c>
      <c r="C128" s="284"/>
      <c r="D128" s="284"/>
      <c r="E128" s="358" t="s">
        <v>411</v>
      </c>
      <c r="F128" s="359"/>
      <c r="G128" s="359"/>
      <c r="H128" s="359"/>
      <c r="I128" s="359"/>
      <c r="J128" s="359"/>
      <c r="K128" s="359"/>
      <c r="L128" s="359"/>
      <c r="M128" s="359"/>
      <c r="N128" s="359"/>
      <c r="O128" s="359"/>
      <c r="P128" s="359"/>
      <c r="Q128" s="359"/>
      <c r="R128" s="359"/>
      <c r="S128" s="359"/>
      <c r="T128" s="359"/>
      <c r="U128" s="359"/>
      <c r="V128" s="359"/>
      <c r="W128" s="359"/>
      <c r="X128" s="359"/>
      <c r="Y128" s="359"/>
      <c r="Z128" s="359"/>
      <c r="AA128" s="359"/>
      <c r="AB128" s="359"/>
      <c r="AC128" s="359"/>
      <c r="AD128" s="360"/>
      <c r="AE128" s="84">
        <f t="shared" si="2"/>
        <v>2.3682855999640939E-2</v>
      </c>
      <c r="AF128" s="225">
        <f>'VI. Insumos Diversos'!I100</f>
        <v>82.666666666666671</v>
      </c>
    </row>
    <row r="129" spans="2:34" ht="25.5" customHeight="1">
      <c r="B129" s="468" t="s">
        <v>402</v>
      </c>
      <c r="C129" s="284"/>
      <c r="D129" s="284"/>
      <c r="E129" s="419" t="s">
        <v>233</v>
      </c>
      <c r="F129" s="419"/>
      <c r="G129" s="419"/>
      <c r="H129" s="469" t="s">
        <v>260</v>
      </c>
      <c r="I129" s="469"/>
      <c r="J129" s="469"/>
      <c r="K129" s="469"/>
      <c r="L129" s="469"/>
      <c r="M129" s="469"/>
      <c r="N129" s="469"/>
      <c r="O129" s="469"/>
      <c r="P129" s="469"/>
      <c r="Q129" s="469"/>
      <c r="R129" s="469"/>
      <c r="S129" s="469"/>
      <c r="T129" s="469"/>
      <c r="U129" s="469"/>
      <c r="V129" s="469"/>
      <c r="W129" s="469"/>
      <c r="X129" s="469"/>
      <c r="Y129" s="469"/>
      <c r="Z129" s="469"/>
      <c r="AA129" s="469"/>
      <c r="AB129" s="469"/>
      <c r="AC129" s="469"/>
      <c r="AD129" s="469"/>
      <c r="AE129" s="84">
        <f t="shared" si="2"/>
        <v>0</v>
      </c>
      <c r="AF129" s="226"/>
    </row>
    <row r="130" spans="2:34" ht="18" customHeight="1" thickBot="1">
      <c r="B130" s="221" t="s">
        <v>62</v>
      </c>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3">
        <f>AE166</f>
        <v>9.0337442499840034E-2</v>
      </c>
      <c r="AF130" s="224">
        <f>SUM(AF120:AF129)</f>
        <v>315.32916666666665</v>
      </c>
    </row>
    <row r="131" spans="2:34" ht="13.5" thickBot="1">
      <c r="D131" s="1"/>
    </row>
    <row r="132" spans="2:34" ht="24" customHeight="1" thickBot="1">
      <c r="B132" s="518" t="s">
        <v>261</v>
      </c>
      <c r="C132" s="519"/>
      <c r="D132" s="519"/>
      <c r="E132" s="519"/>
      <c r="F132" s="519"/>
      <c r="G132" s="519"/>
      <c r="H132" s="519"/>
      <c r="I132" s="519"/>
      <c r="J132" s="519"/>
      <c r="K132" s="519"/>
      <c r="L132" s="519"/>
      <c r="M132" s="519"/>
      <c r="N132" s="519"/>
      <c r="O132" s="519"/>
      <c r="P132" s="519"/>
      <c r="Q132" s="519"/>
      <c r="R132" s="519"/>
      <c r="S132" s="519"/>
      <c r="T132" s="519"/>
      <c r="U132" s="519"/>
      <c r="V132" s="519"/>
      <c r="W132" s="519"/>
      <c r="X132" s="519"/>
      <c r="Y132" s="519"/>
      <c r="Z132" s="519"/>
      <c r="AA132" s="519"/>
      <c r="AB132" s="519"/>
      <c r="AC132" s="519"/>
      <c r="AD132" s="519"/>
      <c r="AE132" s="519"/>
      <c r="AF132" s="520"/>
    </row>
    <row r="133" spans="2:34" ht="13.5" thickBot="1"/>
    <row r="134" spans="2:34" ht="18" customHeight="1">
      <c r="B134" s="472">
        <v>6</v>
      </c>
      <c r="C134" s="473"/>
      <c r="D134" s="473"/>
      <c r="E134" s="474" t="s">
        <v>118</v>
      </c>
      <c r="F134" s="474"/>
      <c r="G134" s="474"/>
      <c r="H134" s="474"/>
      <c r="I134" s="474"/>
      <c r="J134" s="474"/>
      <c r="K134" s="474"/>
      <c r="L134" s="474"/>
      <c r="M134" s="474"/>
      <c r="N134" s="474"/>
      <c r="O134" s="474"/>
      <c r="P134" s="474"/>
      <c r="Q134" s="474"/>
      <c r="R134" s="474"/>
      <c r="S134" s="474"/>
      <c r="T134" s="474"/>
      <c r="U134" s="474"/>
      <c r="V134" s="474"/>
      <c r="W134" s="474"/>
      <c r="X134" s="474"/>
      <c r="Y134" s="474"/>
      <c r="Z134" s="474"/>
      <c r="AA134" s="474"/>
      <c r="AB134" s="474"/>
      <c r="AC134" s="474"/>
      <c r="AD134" s="474"/>
      <c r="AE134" s="216" t="s">
        <v>31</v>
      </c>
      <c r="AF134" s="217" t="s">
        <v>24</v>
      </c>
    </row>
    <row r="135" spans="2:34" ht="15.75" customHeight="1">
      <c r="B135" s="468" t="s">
        <v>7</v>
      </c>
      <c r="C135" s="284"/>
      <c r="D135" s="284"/>
      <c r="E135" s="324" t="s">
        <v>262</v>
      </c>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181">
        <v>0.06</v>
      </c>
      <c r="AF135" s="218">
        <f>ROUND(AF$167*AE135,2)</f>
        <v>452.13</v>
      </c>
    </row>
    <row r="136" spans="2:34" ht="15.75" customHeight="1">
      <c r="B136" s="468" t="s">
        <v>9</v>
      </c>
      <c r="C136" s="284"/>
      <c r="D136" s="284"/>
      <c r="E136" s="324" t="s">
        <v>263</v>
      </c>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182">
        <v>6.7900000000000002E-2</v>
      </c>
      <c r="AF136" s="218">
        <f>ROUND(((AF$167+AF$135)*AE136),2)</f>
        <v>542.36</v>
      </c>
      <c r="AH136" s="63"/>
    </row>
    <row r="137" spans="2:34" ht="15.75" customHeight="1">
      <c r="B137" s="501" t="s">
        <v>11</v>
      </c>
      <c r="C137" s="327"/>
      <c r="D137" s="327"/>
      <c r="E137" s="502" t="s">
        <v>120</v>
      </c>
      <c r="F137" s="502"/>
      <c r="G137" s="502"/>
      <c r="H137" s="502"/>
      <c r="I137" s="502"/>
      <c r="J137" s="502"/>
      <c r="K137" s="502"/>
      <c r="L137" s="502"/>
      <c r="M137" s="502"/>
      <c r="N137" s="502"/>
      <c r="O137" s="502"/>
      <c r="P137" s="502"/>
      <c r="Q137" s="502"/>
      <c r="R137" s="502"/>
      <c r="S137" s="502"/>
      <c r="T137" s="502"/>
      <c r="U137" s="502"/>
      <c r="V137" s="502"/>
      <c r="W137" s="502"/>
      <c r="X137" s="502"/>
      <c r="Y137" s="502"/>
      <c r="Z137" s="502"/>
      <c r="AA137" s="502"/>
      <c r="AB137" s="502"/>
      <c r="AC137" s="502"/>
      <c r="AD137" s="502"/>
      <c r="AE137" s="70">
        <f>SUM(AE138,AE148)</f>
        <v>8.6499999999999994E-2</v>
      </c>
      <c r="AF137" s="218">
        <f>SUM(AF138,AF148)</f>
        <v>807.7</v>
      </c>
    </row>
    <row r="138" spans="2:34" ht="15.75" customHeight="1">
      <c r="B138" s="501"/>
      <c r="C138" s="327"/>
      <c r="D138" s="327"/>
      <c r="E138" s="503" t="s">
        <v>264</v>
      </c>
      <c r="F138" s="503"/>
      <c r="G138" s="503"/>
      <c r="H138" s="503"/>
      <c r="I138" s="503"/>
      <c r="J138" s="503"/>
      <c r="K138" s="503"/>
      <c r="L138" s="503"/>
      <c r="M138" s="503"/>
      <c r="N138" s="503"/>
      <c r="O138" s="503"/>
      <c r="P138" s="503"/>
      <c r="Q138" s="503"/>
      <c r="R138" s="503"/>
      <c r="S138" s="503"/>
      <c r="T138" s="503"/>
      <c r="U138" s="503"/>
      <c r="V138" s="503"/>
      <c r="W138" s="503"/>
      <c r="X138" s="503"/>
      <c r="Y138" s="503"/>
      <c r="Z138" s="503"/>
      <c r="AA138" s="503"/>
      <c r="AB138" s="503"/>
      <c r="AC138" s="503"/>
      <c r="AD138" s="503"/>
      <c r="AE138" s="183">
        <f>SUM(AE139:AE142)</f>
        <v>3.6499999999999998E-2</v>
      </c>
      <c r="AF138" s="219">
        <f>SUM(AF139:AF142)</f>
        <v>340.82</v>
      </c>
    </row>
    <row r="139" spans="2:34" ht="15.75" customHeight="1">
      <c r="B139" s="501"/>
      <c r="C139" s="327"/>
      <c r="D139" s="327"/>
      <c r="E139" s="481" t="s">
        <v>265</v>
      </c>
      <c r="F139" s="481"/>
      <c r="G139" s="481"/>
      <c r="H139" s="481"/>
      <c r="I139" s="481"/>
      <c r="J139" s="481"/>
      <c r="K139" s="481"/>
      <c r="L139" s="481"/>
      <c r="M139" s="481"/>
      <c r="N139" s="481"/>
      <c r="O139" s="481"/>
      <c r="P139" s="481"/>
      <c r="Q139" s="481"/>
      <c r="R139" s="481"/>
      <c r="S139" s="481"/>
      <c r="T139" s="481"/>
      <c r="U139" s="481"/>
      <c r="V139" s="481"/>
      <c r="W139" s="481"/>
      <c r="X139" s="481"/>
      <c r="Y139" s="481"/>
      <c r="Z139" s="481"/>
      <c r="AA139" s="481"/>
      <c r="AB139" s="481"/>
      <c r="AC139" s="481"/>
      <c r="AD139" s="481"/>
      <c r="AE139" s="76">
        <f>IF($J$7=1,0.0044,IF($J$7=2,0.0165,IF($J$7=3,0.0065,0)))</f>
        <v>6.4999999999999997E-3</v>
      </c>
      <c r="AF139" s="212">
        <f>ROUND(AF$180*AE139,2)</f>
        <v>60.69</v>
      </c>
    </row>
    <row r="140" spans="2:34" ht="15.75" customHeight="1">
      <c r="B140" s="501"/>
      <c r="C140" s="327"/>
      <c r="D140" s="327"/>
      <c r="E140" s="481" t="s">
        <v>266</v>
      </c>
      <c r="F140" s="481"/>
      <c r="G140" s="481"/>
      <c r="H140" s="481"/>
      <c r="I140" s="481"/>
      <c r="J140" s="481"/>
      <c r="K140" s="481"/>
      <c r="L140" s="481"/>
      <c r="M140" s="481"/>
      <c r="N140" s="481"/>
      <c r="O140" s="481"/>
      <c r="P140" s="481"/>
      <c r="Q140" s="481"/>
      <c r="R140" s="481"/>
      <c r="S140" s="481"/>
      <c r="T140" s="481"/>
      <c r="U140" s="481"/>
      <c r="V140" s="481"/>
      <c r="W140" s="481"/>
      <c r="X140" s="481"/>
      <c r="Y140" s="481"/>
      <c r="Z140" s="481"/>
      <c r="AA140" s="481"/>
      <c r="AB140" s="481"/>
      <c r="AC140" s="481"/>
      <c r="AD140" s="481"/>
      <c r="AE140" s="76">
        <f>IF($J$7=1,0.0235,IF($J$7=2,0.076,IF($J$7=3,0.03,0)))</f>
        <v>0.03</v>
      </c>
      <c r="AF140" s="212">
        <f>ROUND(AF$180*AE140,2)</f>
        <v>280.13</v>
      </c>
    </row>
    <row r="141" spans="2:34" ht="15.75" customHeight="1">
      <c r="B141" s="501"/>
      <c r="C141" s="327"/>
      <c r="D141" s="327"/>
      <c r="E141" s="66" t="s">
        <v>267</v>
      </c>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128"/>
      <c r="AE141" s="76">
        <f>IF(AE54&gt;0,0,IF(AD141="",0.045,AD141))</f>
        <v>0</v>
      </c>
      <c r="AF141" s="220">
        <f>ROUND(AF$180*AE141,2)</f>
        <v>0</v>
      </c>
    </row>
    <row r="142" spans="2:34">
      <c r="B142" s="501"/>
      <c r="C142" s="327"/>
      <c r="D142" s="327"/>
      <c r="E142" s="481" t="s">
        <v>268</v>
      </c>
      <c r="F142" s="481"/>
      <c r="G142" s="481"/>
      <c r="H142" s="481"/>
      <c r="I142" s="481"/>
      <c r="J142" s="481"/>
      <c r="K142" s="481"/>
      <c r="L142" s="481"/>
      <c r="M142" s="481"/>
      <c r="N142" s="481"/>
      <c r="O142" s="481"/>
      <c r="P142" s="481"/>
      <c r="Q142" s="481"/>
      <c r="R142" s="481"/>
      <c r="S142" s="481"/>
      <c r="T142" s="481"/>
      <c r="U142" s="481"/>
      <c r="V142" s="481"/>
      <c r="W142" s="481"/>
      <c r="X142" s="481"/>
      <c r="Y142" s="481"/>
      <c r="Z142" s="481"/>
      <c r="AA142" s="481"/>
      <c r="AB142" s="481"/>
      <c r="AC142" s="481"/>
      <c r="AD142" s="481"/>
      <c r="AE142" s="76"/>
      <c r="AF142" s="220"/>
    </row>
    <row r="143" spans="2:34" ht="15.75" customHeight="1">
      <c r="B143" s="501"/>
      <c r="C143" s="327"/>
      <c r="D143" s="327"/>
      <c r="E143" s="503" t="s">
        <v>269</v>
      </c>
      <c r="F143" s="503"/>
      <c r="G143" s="503"/>
      <c r="H143" s="503"/>
      <c r="I143" s="503"/>
      <c r="J143" s="503"/>
      <c r="K143" s="503"/>
      <c r="L143" s="503"/>
      <c r="M143" s="503"/>
      <c r="N143" s="503"/>
      <c r="O143" s="503"/>
      <c r="P143" s="503"/>
      <c r="Q143" s="503"/>
      <c r="R143" s="503"/>
      <c r="S143" s="503"/>
      <c r="T143" s="503"/>
      <c r="U143" s="503"/>
      <c r="V143" s="503"/>
      <c r="W143" s="503"/>
      <c r="X143" s="503"/>
      <c r="Y143" s="503"/>
      <c r="Z143" s="503"/>
      <c r="AA143" s="503"/>
      <c r="AB143" s="503"/>
      <c r="AC143" s="503"/>
      <c r="AD143" s="503"/>
      <c r="AE143" s="70" t="s">
        <v>270</v>
      </c>
      <c r="AF143" s="218">
        <v>0</v>
      </c>
    </row>
    <row r="144" spans="2:34">
      <c r="B144" s="501"/>
      <c r="C144" s="327"/>
      <c r="D144" s="327"/>
      <c r="E144" s="481" t="s">
        <v>271</v>
      </c>
      <c r="F144" s="481"/>
      <c r="G144" s="481"/>
      <c r="H144" s="481"/>
      <c r="I144" s="481"/>
      <c r="J144" s="481"/>
      <c r="K144" s="481"/>
      <c r="L144" s="481"/>
      <c r="M144" s="481"/>
      <c r="N144" s="481"/>
      <c r="O144" s="481"/>
      <c r="P144" s="481"/>
      <c r="Q144" s="481"/>
      <c r="R144" s="481"/>
      <c r="S144" s="481"/>
      <c r="T144" s="481"/>
      <c r="U144" s="481"/>
      <c r="V144" s="481"/>
      <c r="W144" s="481"/>
      <c r="X144" s="481"/>
      <c r="Y144" s="481"/>
      <c r="Z144" s="481"/>
      <c r="AA144" s="481"/>
      <c r="AB144" s="481"/>
      <c r="AC144" s="481"/>
      <c r="AD144" s="481"/>
      <c r="AE144" s="76"/>
      <c r="AF144" s="220"/>
    </row>
    <row r="145" spans="2:32">
      <c r="B145" s="501"/>
      <c r="C145" s="327"/>
      <c r="D145" s="327"/>
      <c r="E145" s="481" t="s">
        <v>272</v>
      </c>
      <c r="F145" s="481"/>
      <c r="G145" s="481"/>
      <c r="H145" s="481"/>
      <c r="I145" s="481"/>
      <c r="J145" s="481"/>
      <c r="K145" s="481"/>
      <c r="L145" s="481"/>
      <c r="M145" s="481"/>
      <c r="N145" s="481"/>
      <c r="O145" s="481"/>
      <c r="P145" s="481"/>
      <c r="Q145" s="481"/>
      <c r="R145" s="481"/>
      <c r="S145" s="481"/>
      <c r="T145" s="481"/>
      <c r="U145" s="481"/>
      <c r="V145" s="481"/>
      <c r="W145" s="481"/>
      <c r="X145" s="481"/>
      <c r="Y145" s="481"/>
      <c r="Z145" s="481"/>
      <c r="AA145" s="481"/>
      <c r="AB145" s="481"/>
      <c r="AC145" s="481"/>
      <c r="AD145" s="481"/>
      <c r="AE145" s="76"/>
      <c r="AF145" s="220"/>
    </row>
    <row r="146" spans="2:32">
      <c r="B146" s="501"/>
      <c r="C146" s="327"/>
      <c r="D146" s="327"/>
      <c r="E146" s="481" t="s">
        <v>273</v>
      </c>
      <c r="F146" s="481"/>
      <c r="G146" s="481"/>
      <c r="H146" s="481"/>
      <c r="I146" s="481"/>
      <c r="J146" s="481"/>
      <c r="K146" s="481"/>
      <c r="L146" s="481"/>
      <c r="M146" s="481"/>
      <c r="N146" s="481"/>
      <c r="O146" s="481"/>
      <c r="P146" s="481"/>
      <c r="Q146" s="481"/>
      <c r="R146" s="481"/>
      <c r="S146" s="481"/>
      <c r="T146" s="481"/>
      <c r="U146" s="481"/>
      <c r="V146" s="481"/>
      <c r="W146" s="481"/>
      <c r="X146" s="481"/>
      <c r="Y146" s="481"/>
      <c r="Z146" s="481"/>
      <c r="AA146" s="481"/>
      <c r="AB146" s="481"/>
      <c r="AC146" s="481"/>
      <c r="AD146" s="481"/>
      <c r="AE146" s="76"/>
      <c r="AF146" s="220"/>
    </row>
    <row r="147" spans="2:32">
      <c r="B147" s="501"/>
      <c r="C147" s="327"/>
      <c r="D147" s="327"/>
      <c r="E147" s="481" t="s">
        <v>274</v>
      </c>
      <c r="F147" s="481"/>
      <c r="G147" s="481"/>
      <c r="H147" s="481"/>
      <c r="I147" s="481"/>
      <c r="J147" s="481"/>
      <c r="K147" s="481"/>
      <c r="L147" s="481"/>
      <c r="M147" s="481"/>
      <c r="N147" s="481"/>
      <c r="O147" s="481"/>
      <c r="P147" s="481"/>
      <c r="Q147" s="481"/>
      <c r="R147" s="481"/>
      <c r="S147" s="481"/>
      <c r="T147" s="481"/>
      <c r="U147" s="481"/>
      <c r="V147" s="481"/>
      <c r="W147" s="481"/>
      <c r="X147" s="481"/>
      <c r="Y147" s="481"/>
      <c r="Z147" s="481"/>
      <c r="AA147" s="481"/>
      <c r="AB147" s="481"/>
      <c r="AC147" s="481"/>
      <c r="AD147" s="481"/>
      <c r="AE147" s="76"/>
      <c r="AF147" s="220"/>
    </row>
    <row r="148" spans="2:32" ht="15.75" customHeight="1">
      <c r="B148" s="501"/>
      <c r="C148" s="327"/>
      <c r="D148" s="327"/>
      <c r="E148" s="503" t="s">
        <v>275</v>
      </c>
      <c r="F148" s="503"/>
      <c r="G148" s="503"/>
      <c r="H148" s="503"/>
      <c r="I148" s="503"/>
      <c r="J148" s="503"/>
      <c r="K148" s="503"/>
      <c r="L148" s="503"/>
      <c r="M148" s="503"/>
      <c r="N148" s="503"/>
      <c r="O148" s="503"/>
      <c r="P148" s="503"/>
      <c r="Q148" s="503"/>
      <c r="R148" s="503"/>
      <c r="S148" s="503"/>
      <c r="T148" s="503"/>
      <c r="U148" s="503"/>
      <c r="V148" s="503"/>
      <c r="W148" s="503"/>
      <c r="X148" s="503"/>
      <c r="Y148" s="503"/>
      <c r="Z148" s="503"/>
      <c r="AA148" s="503"/>
      <c r="AB148" s="503"/>
      <c r="AC148" s="503"/>
      <c r="AD148" s="503"/>
      <c r="AE148" s="183">
        <f>SUM(AE149)</f>
        <v>0.05</v>
      </c>
      <c r="AF148" s="219">
        <f>SUM(AF149:AF152)</f>
        <v>466.88</v>
      </c>
    </row>
    <row r="149" spans="2:32" ht="15.75" customHeight="1">
      <c r="B149" s="501"/>
      <c r="C149" s="327"/>
      <c r="D149" s="327"/>
      <c r="E149" s="295" t="s">
        <v>276</v>
      </c>
      <c r="F149" s="295"/>
      <c r="G149" s="295"/>
      <c r="H149" s="295"/>
      <c r="I149" s="295"/>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184">
        <v>0.05</v>
      </c>
      <c r="AF149" s="212">
        <f>ROUND(AF$180*AE149,2)</f>
        <v>466.88</v>
      </c>
    </row>
    <row r="150" spans="2:32" ht="12.75" customHeight="1">
      <c r="B150" s="501"/>
      <c r="C150" s="327"/>
      <c r="D150" s="327"/>
      <c r="E150" s="295" t="s">
        <v>133</v>
      </c>
      <c r="F150" s="295"/>
      <c r="G150" s="295"/>
      <c r="H150" s="295"/>
      <c r="I150" s="295"/>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185"/>
      <c r="AF150" s="220"/>
    </row>
    <row r="151" spans="2:32" ht="12.75" customHeight="1">
      <c r="B151" s="501"/>
      <c r="C151" s="327"/>
      <c r="D151" s="327"/>
      <c r="E151" s="295" t="s">
        <v>134</v>
      </c>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185"/>
      <c r="AF151" s="220"/>
    </row>
    <row r="152" spans="2:32" ht="12.75" customHeight="1">
      <c r="B152" s="501"/>
      <c r="C152" s="327"/>
      <c r="D152" s="327"/>
      <c r="E152" s="295" t="s">
        <v>135</v>
      </c>
      <c r="F152" s="295"/>
      <c r="G152" s="295"/>
      <c r="H152" s="295"/>
      <c r="I152" s="295"/>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185"/>
      <c r="AF152" s="220"/>
    </row>
    <row r="153" spans="2:32" ht="12.75" customHeight="1">
      <c r="B153" s="501"/>
      <c r="C153" s="327"/>
      <c r="D153" s="327"/>
      <c r="E153" s="330" t="s">
        <v>136</v>
      </c>
      <c r="F153" s="330"/>
      <c r="G153" s="330"/>
      <c r="H153" s="330"/>
      <c r="I153" s="330"/>
      <c r="J153" s="330"/>
      <c r="K153" s="330"/>
      <c r="L153" s="330"/>
      <c r="M153" s="330"/>
      <c r="N153" s="330"/>
      <c r="O153" s="330"/>
      <c r="P153" s="330"/>
      <c r="Q153" s="330"/>
      <c r="R153" s="330"/>
      <c r="S153" s="330"/>
      <c r="T153" s="330"/>
      <c r="U153" s="330"/>
      <c r="V153" s="330"/>
      <c r="W153" s="330"/>
      <c r="X153" s="330"/>
      <c r="Y153" s="330"/>
      <c r="Z153" s="330"/>
      <c r="AA153" s="330"/>
      <c r="AB153" s="330"/>
      <c r="AC153" s="330"/>
      <c r="AD153" s="330"/>
      <c r="AE153" s="185"/>
      <c r="AF153" s="220"/>
    </row>
    <row r="154" spans="2:32" ht="12.75" customHeight="1">
      <c r="B154" s="501"/>
      <c r="C154" s="327"/>
      <c r="D154" s="327"/>
      <c r="E154" s="295" t="s">
        <v>137</v>
      </c>
      <c r="F154" s="295"/>
      <c r="G154" s="295"/>
      <c r="H154" s="295"/>
      <c r="I154" s="295"/>
      <c r="J154" s="295"/>
      <c r="K154" s="295"/>
      <c r="L154" s="295"/>
      <c r="M154" s="295"/>
      <c r="N154" s="295"/>
      <c r="O154" s="295"/>
      <c r="P154" s="295"/>
      <c r="Q154" s="295"/>
      <c r="R154" s="295"/>
      <c r="S154" s="295"/>
      <c r="T154" s="295"/>
      <c r="U154" s="295"/>
      <c r="V154" s="295"/>
      <c r="W154" s="295"/>
      <c r="X154" s="295"/>
      <c r="Y154" s="295"/>
      <c r="Z154" s="295"/>
      <c r="AA154" s="295"/>
      <c r="AB154" s="295"/>
      <c r="AC154" s="295"/>
      <c r="AD154" s="295"/>
      <c r="AE154" s="185"/>
      <c r="AF154" s="220"/>
    </row>
    <row r="155" spans="2:32" ht="12.75" customHeight="1">
      <c r="B155" s="501"/>
      <c r="C155" s="327"/>
      <c r="D155" s="327"/>
      <c r="E155" s="295" t="s">
        <v>138</v>
      </c>
      <c r="F155" s="295"/>
      <c r="G155" s="295"/>
      <c r="H155" s="295"/>
      <c r="I155" s="295"/>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185"/>
      <c r="AF155" s="220"/>
    </row>
    <row r="156" spans="2:32" ht="12.75" customHeight="1">
      <c r="B156" s="501"/>
      <c r="C156" s="327"/>
      <c r="D156" s="327"/>
      <c r="E156" s="295" t="s">
        <v>139</v>
      </c>
      <c r="F156" s="295"/>
      <c r="G156" s="295"/>
      <c r="H156" s="295"/>
      <c r="I156" s="295"/>
      <c r="J156" s="295"/>
      <c r="K156" s="295"/>
      <c r="L156" s="295"/>
      <c r="M156" s="295"/>
      <c r="N156" s="295"/>
      <c r="O156" s="295"/>
      <c r="P156" s="295"/>
      <c r="Q156" s="295"/>
      <c r="R156" s="295"/>
      <c r="S156" s="295"/>
      <c r="T156" s="295"/>
      <c r="U156" s="295"/>
      <c r="V156" s="295"/>
      <c r="W156" s="295"/>
      <c r="X156" s="295"/>
      <c r="Y156" s="295"/>
      <c r="Z156" s="295"/>
      <c r="AA156" s="295"/>
      <c r="AB156" s="295"/>
      <c r="AC156" s="295"/>
      <c r="AD156" s="295"/>
      <c r="AE156" s="185"/>
      <c r="AF156" s="220"/>
    </row>
    <row r="157" spans="2:32">
      <c r="B157" s="501"/>
      <c r="C157" s="327"/>
      <c r="D157" s="327"/>
      <c r="E157" s="295" t="s">
        <v>140</v>
      </c>
      <c r="F157" s="295"/>
      <c r="G157" s="295"/>
      <c r="H157" s="295"/>
      <c r="I157" s="295"/>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185"/>
      <c r="AF157" s="220"/>
    </row>
    <row r="158" spans="2:32" ht="18" customHeight="1" thickBot="1">
      <c r="B158" s="221" t="s">
        <v>142</v>
      </c>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3">
        <f>IF(AF$42=0,"",AF158/AF$42)</f>
        <v>0.51630249500797865</v>
      </c>
      <c r="AF158" s="224">
        <f>SUM(AF136,AF137,AF135)</f>
        <v>1802.19</v>
      </c>
    </row>
    <row r="159" spans="2:32" ht="12.75" customHeight="1" thickBot="1">
      <c r="D159" s="1"/>
    </row>
    <row r="160" spans="2:32" ht="21" customHeight="1">
      <c r="B160" s="521" t="s">
        <v>277</v>
      </c>
      <c r="C160" s="522"/>
      <c r="D160" s="522"/>
      <c r="E160" s="522"/>
      <c r="F160" s="522"/>
      <c r="G160" s="522"/>
      <c r="H160" s="522"/>
      <c r="I160" s="522"/>
      <c r="J160" s="522"/>
      <c r="K160" s="522"/>
      <c r="L160" s="522"/>
      <c r="M160" s="522"/>
      <c r="N160" s="522"/>
      <c r="O160" s="522"/>
      <c r="P160" s="522"/>
      <c r="Q160" s="522"/>
      <c r="R160" s="522"/>
      <c r="S160" s="522"/>
      <c r="T160" s="522"/>
      <c r="U160" s="522"/>
      <c r="V160" s="522"/>
      <c r="W160" s="522"/>
      <c r="X160" s="522"/>
      <c r="Y160" s="522"/>
      <c r="Z160" s="522"/>
      <c r="AA160" s="522"/>
      <c r="AB160" s="522"/>
      <c r="AC160" s="522"/>
      <c r="AD160" s="522"/>
      <c r="AE160" s="522"/>
      <c r="AF160" s="523"/>
    </row>
    <row r="161" spans="2:34" ht="18.75" customHeight="1">
      <c r="B161" s="499" t="s">
        <v>144</v>
      </c>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101" t="s">
        <v>31</v>
      </c>
      <c r="AF161" s="211" t="s">
        <v>24</v>
      </c>
    </row>
    <row r="162" spans="2:34" ht="18.75" customHeight="1">
      <c r="B162" s="468" t="s">
        <v>7</v>
      </c>
      <c r="C162" s="284"/>
      <c r="D162" s="284"/>
      <c r="E162" s="295" t="s">
        <v>145</v>
      </c>
      <c r="F162" s="295"/>
      <c r="G162" s="295"/>
      <c r="H162" s="295"/>
      <c r="I162" s="295"/>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76">
        <f>IF(AF$42=0,"",AF162/AF$42)</f>
        <v>1</v>
      </c>
      <c r="AF162" s="212">
        <f>AF42</f>
        <v>3490.57</v>
      </c>
    </row>
    <row r="163" spans="2:34" ht="18.75" customHeight="1">
      <c r="B163" s="468" t="s">
        <v>9</v>
      </c>
      <c r="C163" s="284"/>
      <c r="D163" s="284"/>
      <c r="E163" s="295" t="s">
        <v>278</v>
      </c>
      <c r="F163" s="295"/>
      <c r="G163" s="295"/>
      <c r="H163" s="295"/>
      <c r="I163" s="295"/>
      <c r="J163" s="295"/>
      <c r="K163" s="295"/>
      <c r="L163" s="295"/>
      <c r="M163" s="295"/>
      <c r="N163" s="295"/>
      <c r="O163" s="295"/>
      <c r="P163" s="295"/>
      <c r="Q163" s="295"/>
      <c r="R163" s="295"/>
      <c r="S163" s="295"/>
      <c r="T163" s="295"/>
      <c r="U163" s="295"/>
      <c r="V163" s="295"/>
      <c r="W163" s="295"/>
      <c r="X163" s="295"/>
      <c r="Y163" s="295"/>
      <c r="Z163" s="295"/>
      <c r="AA163" s="295"/>
      <c r="AB163" s="295"/>
      <c r="AC163" s="295"/>
      <c r="AD163" s="295"/>
      <c r="AE163" s="76">
        <f>IF(AF$42=0,"",AF163/AF$42)</f>
        <v>0.95607594175163368</v>
      </c>
      <c r="AF163" s="212">
        <f>AF82</f>
        <v>3337.25</v>
      </c>
    </row>
    <row r="164" spans="2:34" ht="18.75" customHeight="1">
      <c r="B164" s="468" t="s">
        <v>11</v>
      </c>
      <c r="C164" s="284"/>
      <c r="D164" s="284"/>
      <c r="E164" s="295" t="s">
        <v>279</v>
      </c>
      <c r="F164" s="295"/>
      <c r="G164" s="295"/>
      <c r="H164" s="295"/>
      <c r="I164" s="295"/>
      <c r="J164" s="295"/>
      <c r="K164" s="295"/>
      <c r="L164" s="295"/>
      <c r="M164" s="295"/>
      <c r="N164" s="295"/>
      <c r="O164" s="295"/>
      <c r="P164" s="295"/>
      <c r="Q164" s="295"/>
      <c r="R164" s="295"/>
      <c r="S164" s="295"/>
      <c r="T164" s="295"/>
      <c r="U164" s="295"/>
      <c r="V164" s="295"/>
      <c r="W164" s="295"/>
      <c r="X164" s="295"/>
      <c r="Y164" s="295"/>
      <c r="Z164" s="295"/>
      <c r="AA164" s="295"/>
      <c r="AB164" s="295"/>
      <c r="AC164" s="295"/>
      <c r="AD164" s="295"/>
      <c r="AE164" s="76">
        <f>IF(AF$42=0,"",AF164/AF$42)</f>
        <v>7.1097270646341429E-2</v>
      </c>
      <c r="AF164" s="212">
        <f>AF93</f>
        <v>248.17000000000002</v>
      </c>
    </row>
    <row r="165" spans="2:34" ht="18.75" customHeight="1">
      <c r="B165" s="468" t="s">
        <v>13</v>
      </c>
      <c r="C165" s="284"/>
      <c r="D165" s="284"/>
      <c r="E165" s="295" t="s">
        <v>280</v>
      </c>
      <c r="F165" s="295"/>
      <c r="G165" s="295"/>
      <c r="H165" s="295"/>
      <c r="I165" s="295"/>
      <c r="J165" s="295"/>
      <c r="K165" s="295"/>
      <c r="L165" s="295"/>
      <c r="M165" s="295"/>
      <c r="N165" s="295"/>
      <c r="O165" s="295"/>
      <c r="P165" s="295"/>
      <c r="Q165" s="295"/>
      <c r="R165" s="295"/>
      <c r="S165" s="295"/>
      <c r="T165" s="295"/>
      <c r="U165" s="295"/>
      <c r="V165" s="295"/>
      <c r="W165" s="295"/>
      <c r="X165" s="295"/>
      <c r="Y165" s="295"/>
      <c r="Z165" s="295"/>
      <c r="AA165" s="295"/>
      <c r="AB165" s="295"/>
      <c r="AC165" s="295"/>
      <c r="AD165" s="295"/>
      <c r="AE165" s="76">
        <f>IF(AF$42=0,"",AF165/AF$42)</f>
        <v>4.1293664337321963E-2</v>
      </c>
      <c r="AF165" s="212">
        <f>AF115</f>
        <v>144.13842592592593</v>
      </c>
    </row>
    <row r="166" spans="2:34" ht="18.75" customHeight="1">
      <c r="B166" s="468" t="s">
        <v>37</v>
      </c>
      <c r="C166" s="284"/>
      <c r="D166" s="284"/>
      <c r="E166" s="295" t="s">
        <v>281</v>
      </c>
      <c r="F166" s="295"/>
      <c r="G166" s="295"/>
      <c r="H166" s="295"/>
      <c r="I166" s="295"/>
      <c r="J166" s="295"/>
      <c r="K166" s="295"/>
      <c r="L166" s="295"/>
      <c r="M166" s="295"/>
      <c r="N166" s="295"/>
      <c r="O166" s="295"/>
      <c r="P166" s="295"/>
      <c r="Q166" s="295"/>
      <c r="R166" s="295"/>
      <c r="S166" s="295"/>
      <c r="T166" s="295"/>
      <c r="U166" s="295"/>
      <c r="V166" s="295"/>
      <c r="W166" s="295"/>
      <c r="X166" s="295"/>
      <c r="Y166" s="295"/>
      <c r="Z166" s="295"/>
      <c r="AA166" s="295"/>
      <c r="AB166" s="295"/>
      <c r="AC166" s="295"/>
      <c r="AD166" s="295"/>
      <c r="AE166" s="76">
        <f>IF(AF$42=0,"",AF166/AF$42)</f>
        <v>9.0337442499840034E-2</v>
      </c>
      <c r="AF166" s="212">
        <f>AF130</f>
        <v>315.32916666666665</v>
      </c>
    </row>
    <row r="167" spans="2:34" ht="18.75" customHeight="1">
      <c r="B167" s="504" t="s">
        <v>282</v>
      </c>
      <c r="C167" s="323"/>
      <c r="D167" s="323"/>
      <c r="E167" s="323"/>
      <c r="F167" s="323"/>
      <c r="G167" s="323"/>
      <c r="H167" s="323"/>
      <c r="I167" s="323"/>
      <c r="J167" s="323"/>
      <c r="K167" s="323"/>
      <c r="L167" s="323"/>
      <c r="M167" s="323"/>
      <c r="N167" s="323"/>
      <c r="O167" s="323"/>
      <c r="P167" s="323"/>
      <c r="Q167" s="323"/>
      <c r="R167" s="323"/>
      <c r="S167" s="323"/>
      <c r="T167" s="323"/>
      <c r="U167" s="323"/>
      <c r="V167" s="323"/>
      <c r="W167" s="323"/>
      <c r="X167" s="323"/>
      <c r="Y167" s="323"/>
      <c r="Z167" s="323"/>
      <c r="AA167" s="323"/>
      <c r="AB167" s="323"/>
      <c r="AC167" s="323"/>
      <c r="AD167" s="323"/>
      <c r="AE167" s="186">
        <f>SUM(AE162:AE166)</f>
        <v>2.1588043192351374</v>
      </c>
      <c r="AF167" s="213">
        <f>SUM(AF162:AF166)</f>
        <v>7535.4575925925919</v>
      </c>
    </row>
    <row r="168" spans="2:34" ht="18.75" customHeight="1">
      <c r="B168" s="468" t="s">
        <v>39</v>
      </c>
      <c r="C168" s="284"/>
      <c r="D168" s="284"/>
      <c r="E168" s="295" t="s">
        <v>283</v>
      </c>
      <c r="F168" s="295"/>
      <c r="G168" s="295"/>
      <c r="H168" s="295"/>
      <c r="I168" s="295"/>
      <c r="J168" s="295"/>
      <c r="K168" s="295"/>
      <c r="L168" s="295"/>
      <c r="M168" s="295"/>
      <c r="N168" s="295"/>
      <c r="O168" s="295"/>
      <c r="P168" s="295"/>
      <c r="Q168" s="295"/>
      <c r="R168" s="295"/>
      <c r="S168" s="295"/>
      <c r="T168" s="295"/>
      <c r="U168" s="295"/>
      <c r="V168" s="295"/>
      <c r="W168" s="295"/>
      <c r="X168" s="295"/>
      <c r="Y168" s="295"/>
      <c r="Z168" s="295"/>
      <c r="AA168" s="295"/>
      <c r="AB168" s="295"/>
      <c r="AC168" s="295"/>
      <c r="AD168" s="295"/>
      <c r="AE168" s="76">
        <f>IF(AF$42=0,"",AF168/AF$42)</f>
        <v>0.51630249500797865</v>
      </c>
      <c r="AF168" s="212">
        <f>AF158</f>
        <v>1802.19</v>
      </c>
    </row>
    <row r="169" spans="2:34" ht="18.75" customHeight="1" thickBot="1">
      <c r="B169" s="505" t="s">
        <v>284</v>
      </c>
      <c r="C169" s="506"/>
      <c r="D169" s="506"/>
      <c r="E169" s="506"/>
      <c r="F169" s="506"/>
      <c r="G169" s="506"/>
      <c r="H169" s="506"/>
      <c r="I169" s="506"/>
      <c r="J169" s="506"/>
      <c r="K169" s="506"/>
      <c r="L169" s="506"/>
      <c r="M169" s="506"/>
      <c r="N169" s="506"/>
      <c r="O169" s="506"/>
      <c r="P169" s="506"/>
      <c r="Q169" s="506"/>
      <c r="R169" s="506"/>
      <c r="S169" s="506"/>
      <c r="T169" s="506"/>
      <c r="U169" s="506"/>
      <c r="V169" s="506"/>
      <c r="W169" s="506"/>
      <c r="X169" s="506"/>
      <c r="Y169" s="506"/>
      <c r="Z169" s="506"/>
      <c r="AA169" s="506"/>
      <c r="AB169" s="506"/>
      <c r="AC169" s="506"/>
      <c r="AD169" s="506"/>
      <c r="AE169" s="214">
        <f>SUM(AE164:AE168)</f>
        <v>2.8778351917266196</v>
      </c>
      <c r="AF169" s="215">
        <f>AF167+AF168</f>
        <v>9337.6475925925915</v>
      </c>
    </row>
    <row r="170" spans="2:34" ht="13.5" thickBot="1">
      <c r="D170" s="1"/>
    </row>
    <row r="171" spans="2:34" ht="18.75" customHeight="1">
      <c r="B171" s="189" t="s">
        <v>285</v>
      </c>
      <c r="C171" s="190"/>
      <c r="D171" s="190"/>
      <c r="E171" s="190"/>
      <c r="F171" s="190"/>
      <c r="G171" s="190"/>
      <c r="H171" s="190"/>
      <c r="I171" s="190"/>
      <c r="J171" s="190"/>
      <c r="K171" s="190"/>
      <c r="L171" s="190"/>
      <c r="M171" s="190"/>
      <c r="N171" s="190"/>
      <c r="O171" s="190"/>
      <c r="P171" s="190"/>
      <c r="Q171" s="190"/>
      <c r="R171" s="190"/>
      <c r="S171" s="190"/>
      <c r="T171" s="190"/>
      <c r="U171" s="190"/>
      <c r="V171" s="190"/>
      <c r="W171" s="190"/>
      <c r="X171" s="190"/>
      <c r="Y171" s="190"/>
      <c r="Z171" s="190"/>
      <c r="AA171" s="190"/>
      <c r="AB171" s="190"/>
      <c r="AC171" s="190"/>
      <c r="AD171" s="190"/>
      <c r="AE171" s="191"/>
      <c r="AF171" s="192">
        <f>AF169</f>
        <v>9337.6475925925915</v>
      </c>
      <c r="AH171" s="62"/>
    </row>
    <row r="172" spans="2:34" ht="18.75" customHeight="1">
      <c r="B172" s="193" t="str">
        <f>"Valor por posto de trabalho (cada posto contém "&amp;AE172&amp;" empregado(s))"</f>
        <v>Valor por posto de trabalho (cada posto contém 2 empregado(s))</v>
      </c>
      <c r="C172" s="178"/>
      <c r="D172" s="178"/>
      <c r="E172" s="178"/>
      <c r="F172" s="178"/>
      <c r="G172" s="178"/>
      <c r="H172" s="178"/>
      <c r="I172" s="178"/>
      <c r="J172" s="178"/>
      <c r="K172" s="178"/>
      <c r="L172" s="178"/>
      <c r="M172" s="178"/>
      <c r="N172" s="178"/>
      <c r="O172" s="178"/>
      <c r="P172" s="178"/>
      <c r="Q172" s="178"/>
      <c r="R172" s="178"/>
      <c r="S172" s="178"/>
      <c r="T172" s="178"/>
      <c r="U172" s="178"/>
      <c r="V172" s="178"/>
      <c r="W172" s="178"/>
      <c r="X172" s="178"/>
      <c r="Y172" s="178"/>
      <c r="Z172" s="178"/>
      <c r="AA172" s="178"/>
      <c r="AB172" s="178"/>
      <c r="AC172" s="178"/>
      <c r="AD172" s="178"/>
      <c r="AE172" s="187">
        <f>AE18</f>
        <v>2</v>
      </c>
      <c r="AF172" s="194">
        <f>AF171*AE172</f>
        <v>18675.295185185183</v>
      </c>
      <c r="AH172" s="138"/>
    </row>
    <row r="173" spans="2:34" ht="18.75" customHeight="1">
      <c r="B173" s="193" t="s">
        <v>286</v>
      </c>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87">
        <f>AE19</f>
        <v>31</v>
      </c>
      <c r="AF173" s="194">
        <f>AF172*AE173</f>
        <v>578934.1507407407</v>
      </c>
    </row>
    <row r="174" spans="2:34" ht="18.75" customHeight="1">
      <c r="B174" s="193" t="s">
        <v>287</v>
      </c>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8"/>
      <c r="AB174" s="178"/>
      <c r="AC174" s="178"/>
      <c r="AD174" s="178"/>
      <c r="AE174" s="187"/>
      <c r="AF174" s="194">
        <f>AF173*12</f>
        <v>6947209.808888888</v>
      </c>
    </row>
    <row r="175" spans="2:34" ht="18.75" customHeight="1">
      <c r="B175" s="193" t="s">
        <v>288</v>
      </c>
      <c r="C175" s="178"/>
      <c r="D175" s="178"/>
      <c r="E175" s="178"/>
      <c r="F175" s="178"/>
      <c r="G175" s="178"/>
      <c r="H175" s="178"/>
      <c r="I175" s="178"/>
      <c r="J175" s="178"/>
      <c r="K175" s="178"/>
      <c r="L175" s="178"/>
      <c r="M175" s="178"/>
      <c r="N175" s="178"/>
      <c r="O175" s="178"/>
      <c r="P175" s="178"/>
      <c r="Q175" s="178"/>
      <c r="R175" s="178"/>
      <c r="S175" s="178"/>
      <c r="T175" s="178"/>
      <c r="U175" s="178"/>
      <c r="V175" s="178"/>
      <c r="W175" s="178"/>
      <c r="X175" s="178"/>
      <c r="Y175" s="178"/>
      <c r="Z175" s="178"/>
      <c r="AA175" s="178"/>
      <c r="AB175" s="178"/>
      <c r="AC175" s="178"/>
      <c r="AD175" s="178"/>
      <c r="AE175" s="187"/>
      <c r="AF175" s="194">
        <f>AF173*AE14</f>
        <v>17368024.522222221</v>
      </c>
    </row>
    <row r="176" spans="2:34" ht="18.75" customHeight="1">
      <c r="B176" s="507"/>
      <c r="C176" s="508"/>
      <c r="D176" s="508"/>
      <c r="E176" s="508"/>
      <c r="F176" s="508"/>
      <c r="G176" s="508"/>
      <c r="H176" s="508"/>
      <c r="I176" s="508"/>
      <c r="J176" s="508"/>
      <c r="K176" s="508"/>
      <c r="L176" s="508"/>
      <c r="M176" s="508"/>
      <c r="N176" s="508"/>
      <c r="O176" s="508"/>
      <c r="P176" s="508"/>
      <c r="Q176" s="508"/>
      <c r="R176" s="508"/>
      <c r="S176" s="508"/>
      <c r="T176" s="508"/>
      <c r="U176" s="508"/>
      <c r="V176" s="508"/>
      <c r="W176" s="508"/>
      <c r="X176" s="508"/>
      <c r="Y176" s="508"/>
      <c r="Z176" s="508"/>
      <c r="AA176" s="508"/>
      <c r="AB176" s="508"/>
      <c r="AC176" s="508"/>
      <c r="AD176" s="508"/>
      <c r="AE176" s="188"/>
      <c r="AF176" s="194">
        <f>IF(AE176=0,0,AF$169/AE176)</f>
        <v>0</v>
      </c>
    </row>
    <row r="177" spans="2:32" ht="18.75" customHeight="1" thickBot="1">
      <c r="B177" s="509"/>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c r="AA177" s="510"/>
      <c r="AB177" s="510"/>
      <c r="AC177" s="510"/>
      <c r="AD177" s="510"/>
      <c r="AE177" s="195"/>
      <c r="AF177" s="196">
        <f>IF(AE177=0,0,AF$169/AE177)</f>
        <v>0</v>
      </c>
    </row>
    <row r="178" spans="2:32" ht="13.5" thickBot="1"/>
    <row r="179" spans="2:32" ht="18.75" customHeight="1">
      <c r="B179" s="197" t="s">
        <v>289</v>
      </c>
      <c r="C179" s="198"/>
      <c r="D179" s="198"/>
      <c r="E179" s="198"/>
      <c r="F179" s="198"/>
      <c r="G179" s="198"/>
      <c r="H179" s="198"/>
      <c r="I179" s="198"/>
      <c r="J179" s="198"/>
      <c r="K179" s="198"/>
      <c r="L179" s="198"/>
      <c r="M179" s="198"/>
      <c r="N179" s="198"/>
      <c r="O179" s="198"/>
      <c r="P179" s="198"/>
      <c r="Q179" s="198"/>
      <c r="R179" s="198"/>
      <c r="S179" s="198"/>
      <c r="T179" s="198"/>
      <c r="U179" s="198"/>
      <c r="V179" s="198"/>
      <c r="W179" s="199"/>
      <c r="X179" s="198"/>
      <c r="Y179" s="198"/>
      <c r="Z179" s="198"/>
      <c r="AA179" s="198"/>
      <c r="AB179" s="198"/>
      <c r="AC179" s="198"/>
      <c r="AD179" s="198"/>
      <c r="AE179" s="200"/>
      <c r="AF179" s="201">
        <f>AF42+AF82+AF93+AF115+AF130+AF135+AF136</f>
        <v>8529.9475925925926</v>
      </c>
    </row>
    <row r="180" spans="2:32" ht="18.75" customHeight="1" thickBot="1">
      <c r="B180" s="202" t="s">
        <v>290</v>
      </c>
      <c r="C180" s="203"/>
      <c r="D180" s="203"/>
      <c r="E180" s="203"/>
      <c r="F180" s="203"/>
      <c r="G180" s="203"/>
      <c r="H180" s="203"/>
      <c r="I180" s="203"/>
      <c r="J180" s="203"/>
      <c r="K180" s="203"/>
      <c r="L180" s="203"/>
      <c r="M180" s="203"/>
      <c r="N180" s="203"/>
      <c r="O180" s="203"/>
      <c r="P180" s="203"/>
      <c r="Q180" s="203"/>
      <c r="R180" s="203"/>
      <c r="S180" s="203"/>
      <c r="T180" s="203"/>
      <c r="U180" s="203"/>
      <c r="V180" s="203"/>
      <c r="W180" s="204"/>
      <c r="X180" s="203"/>
      <c r="Y180" s="203"/>
      <c r="Z180" s="203"/>
      <c r="AA180" s="203"/>
      <c r="AB180" s="203"/>
      <c r="AC180" s="203"/>
      <c r="AD180" s="205">
        <f>J7</f>
        <v>3</v>
      </c>
      <c r="AE180" s="206" t="str">
        <f>IF(AD180=1,"Simples",IF(AD180=2,"Lucro Real",IF(AD180=3,"Lucro presumido","Informar regime")))</f>
        <v>Lucro presumido</v>
      </c>
      <c r="AF180" s="207">
        <f>TRUNC(AF179/J8,2)</f>
        <v>9337.65</v>
      </c>
    </row>
    <row r="181" spans="2:32" ht="13.5" thickBot="1">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c r="AA181" s="72"/>
      <c r="AB181" s="72"/>
      <c r="AC181" s="72"/>
      <c r="AD181" s="72"/>
      <c r="AE181" s="72"/>
      <c r="AF181" s="73"/>
    </row>
    <row r="182" spans="2:32" ht="21" customHeight="1">
      <c r="B182" s="208" t="s">
        <v>291</v>
      </c>
      <c r="C182" s="209"/>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10"/>
    </row>
    <row r="183" spans="2:32" ht="16.5" customHeight="1">
      <c r="B183" s="361" t="s">
        <v>412</v>
      </c>
      <c r="C183" s="362"/>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3"/>
    </row>
    <row r="184" spans="2:32" ht="16.5" customHeight="1">
      <c r="B184" s="364"/>
      <c r="C184" s="365"/>
      <c r="D184" s="365"/>
      <c r="E184" s="365"/>
      <c r="F184" s="365"/>
      <c r="G184" s="365"/>
      <c r="H184" s="365"/>
      <c r="I184" s="365"/>
      <c r="J184" s="365"/>
      <c r="K184" s="365"/>
      <c r="L184" s="365"/>
      <c r="M184" s="365"/>
      <c r="N184" s="365"/>
      <c r="O184" s="365"/>
      <c r="P184" s="365"/>
      <c r="Q184" s="365"/>
      <c r="R184" s="365"/>
      <c r="S184" s="365"/>
      <c r="T184" s="365"/>
      <c r="U184" s="365"/>
      <c r="V184" s="365"/>
      <c r="W184" s="365"/>
      <c r="X184" s="365"/>
      <c r="Y184" s="365"/>
      <c r="Z184" s="365"/>
      <c r="AA184" s="365"/>
      <c r="AB184" s="365"/>
      <c r="AC184" s="365"/>
      <c r="AD184" s="365"/>
      <c r="AE184" s="365"/>
      <c r="AF184" s="366"/>
    </row>
    <row r="185" spans="2:32" ht="16.5" customHeight="1" thickBot="1">
      <c r="B185" s="367"/>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9"/>
    </row>
  </sheetData>
  <sheetProtection selectLockedCells="1" selectUnlockedCells="1"/>
  <mergeCells count="243">
    <mergeCell ref="B2:AF3"/>
    <mergeCell ref="AH2:AH3"/>
    <mergeCell ref="B5:I5"/>
    <mergeCell ref="J5:AB5"/>
    <mergeCell ref="AE5:AF5"/>
    <mergeCell ref="B7:I7"/>
    <mergeCell ref="K7:Q7"/>
    <mergeCell ref="AB7:AD7"/>
    <mergeCell ref="AE7:AF7"/>
    <mergeCell ref="B12:D12"/>
    <mergeCell ref="AE12:AF12"/>
    <mergeCell ref="B13:D13"/>
    <mergeCell ref="AE13:AF13"/>
    <mergeCell ref="B14:D14"/>
    <mergeCell ref="AE14:AF14"/>
    <mergeCell ref="B8:I8"/>
    <mergeCell ref="J8:Q8"/>
    <mergeCell ref="AB8:AD8"/>
    <mergeCell ref="AE8:AF8"/>
    <mergeCell ref="B10:AF10"/>
    <mergeCell ref="B11:D11"/>
    <mergeCell ref="AE11:AF11"/>
    <mergeCell ref="X21:AD21"/>
    <mergeCell ref="AE21:AF21"/>
    <mergeCell ref="B23:AD24"/>
    <mergeCell ref="AE23:AF25"/>
    <mergeCell ref="B26:D26"/>
    <mergeCell ref="E26:AD26"/>
    <mergeCell ref="AE26:AF26"/>
    <mergeCell ref="B16:AF16"/>
    <mergeCell ref="AE17:AF17"/>
    <mergeCell ref="B18:W18"/>
    <mergeCell ref="X18:AD18"/>
    <mergeCell ref="AE18:AF18"/>
    <mergeCell ref="B19:W21"/>
    <mergeCell ref="X19:AD19"/>
    <mergeCell ref="AE19:AF19"/>
    <mergeCell ref="X20:AD20"/>
    <mergeCell ref="AE20:AF20"/>
    <mergeCell ref="AG28:AJ28"/>
    <mergeCell ref="B29:D29"/>
    <mergeCell ref="E29:AD29"/>
    <mergeCell ref="AE29:AF29"/>
    <mergeCell ref="B30:D30"/>
    <mergeCell ref="E30:AD30"/>
    <mergeCell ref="AE30:AF30"/>
    <mergeCell ref="B27:D27"/>
    <mergeCell ref="E27:AD27"/>
    <mergeCell ref="AE27:AF27"/>
    <mergeCell ref="B28:D28"/>
    <mergeCell ref="E28:AD28"/>
    <mergeCell ref="AE28:AF28"/>
    <mergeCell ref="AG37:AK38"/>
    <mergeCell ref="B38:D38"/>
    <mergeCell ref="E38:AC38"/>
    <mergeCell ref="B31:D31"/>
    <mergeCell ref="E31:AD31"/>
    <mergeCell ref="AE31:AF31"/>
    <mergeCell ref="B33:AF33"/>
    <mergeCell ref="B35:D35"/>
    <mergeCell ref="E35:AD35"/>
    <mergeCell ref="B39:D39"/>
    <mergeCell ref="B40:D40"/>
    <mergeCell ref="E40:AC40"/>
    <mergeCell ref="B41:D41"/>
    <mergeCell ref="E41:K41"/>
    <mergeCell ref="L41:AD41"/>
    <mergeCell ref="B36:D36"/>
    <mergeCell ref="E36:AD36"/>
    <mergeCell ref="B37:D37"/>
    <mergeCell ref="B49:D49"/>
    <mergeCell ref="E49:AD49"/>
    <mergeCell ref="B50:AD50"/>
    <mergeCell ref="B53:D53"/>
    <mergeCell ref="E53:AD53"/>
    <mergeCell ref="B54:D54"/>
    <mergeCell ref="E54:F54"/>
    <mergeCell ref="G54:AC54"/>
    <mergeCell ref="B44:AF44"/>
    <mergeCell ref="AE46:AF46"/>
    <mergeCell ref="B47:D47"/>
    <mergeCell ref="E47:AD47"/>
    <mergeCell ref="B48:D48"/>
    <mergeCell ref="E48:AD48"/>
    <mergeCell ref="AG54:AK62"/>
    <mergeCell ref="B55:D55"/>
    <mergeCell ref="E55:AD55"/>
    <mergeCell ref="B56:D56"/>
    <mergeCell ref="E56:AD56"/>
    <mergeCell ref="B57:D57"/>
    <mergeCell ref="E57:AD57"/>
    <mergeCell ref="B58:D58"/>
    <mergeCell ref="E58:AD58"/>
    <mergeCell ref="B59:D59"/>
    <mergeCell ref="B63:AD63"/>
    <mergeCell ref="AE65:AF65"/>
    <mergeCell ref="B66:D66"/>
    <mergeCell ref="E66:AD66"/>
    <mergeCell ref="B67:D68"/>
    <mergeCell ref="E67:AC68"/>
    <mergeCell ref="AF67:AF68"/>
    <mergeCell ref="E59:AD59"/>
    <mergeCell ref="B60:D60"/>
    <mergeCell ref="E60:AD60"/>
    <mergeCell ref="B61:D61"/>
    <mergeCell ref="E61:AD61"/>
    <mergeCell ref="B62:D62"/>
    <mergeCell ref="E62:K62"/>
    <mergeCell ref="L62:AD62"/>
    <mergeCell ref="B74:D74"/>
    <mergeCell ref="E74:G74"/>
    <mergeCell ref="H74:AD74"/>
    <mergeCell ref="AE77:AF77"/>
    <mergeCell ref="B78:D78"/>
    <mergeCell ref="E78:AD78"/>
    <mergeCell ref="AG67:AJ74"/>
    <mergeCell ref="B69:D70"/>
    <mergeCell ref="E69:AC70"/>
    <mergeCell ref="AF69:AF70"/>
    <mergeCell ref="B71:D71"/>
    <mergeCell ref="E71:AD71"/>
    <mergeCell ref="B72:D72"/>
    <mergeCell ref="E72:AD72"/>
    <mergeCell ref="B73:D73"/>
    <mergeCell ref="E73:AD73"/>
    <mergeCell ref="B82:AD82"/>
    <mergeCell ref="B84:AF84"/>
    <mergeCell ref="B86:D86"/>
    <mergeCell ref="B87:D87"/>
    <mergeCell ref="E87:AC87"/>
    <mergeCell ref="B88:D88"/>
    <mergeCell ref="E88:AD88"/>
    <mergeCell ref="B79:D79"/>
    <mergeCell ref="E79:AD79"/>
    <mergeCell ref="B80:D80"/>
    <mergeCell ref="E80:AD80"/>
    <mergeCell ref="B81:D81"/>
    <mergeCell ref="E81:AD81"/>
    <mergeCell ref="B92:D92"/>
    <mergeCell ref="E92:AD92"/>
    <mergeCell ref="B93:AD93"/>
    <mergeCell ref="B95:AF95"/>
    <mergeCell ref="B98:D98"/>
    <mergeCell ref="B99:D99"/>
    <mergeCell ref="E99:AC99"/>
    <mergeCell ref="B89:D89"/>
    <mergeCell ref="E89:AD89"/>
    <mergeCell ref="B90:D90"/>
    <mergeCell ref="E90:AC90"/>
    <mergeCell ref="B91:D91"/>
    <mergeCell ref="E91:AD91"/>
    <mergeCell ref="B103:D103"/>
    <mergeCell ref="E103:AC103"/>
    <mergeCell ref="B104:D104"/>
    <mergeCell ref="S104:AC104"/>
    <mergeCell ref="B105:AD105"/>
    <mergeCell ref="AE107:AF107"/>
    <mergeCell ref="B100:D100"/>
    <mergeCell ref="E100:AC100"/>
    <mergeCell ref="B101:D101"/>
    <mergeCell ref="E101:AC101"/>
    <mergeCell ref="B102:D102"/>
    <mergeCell ref="E102:AC102"/>
    <mergeCell ref="B114:D114"/>
    <mergeCell ref="E114:AD114"/>
    <mergeCell ref="B115:AD115"/>
    <mergeCell ref="B117:AF117"/>
    <mergeCell ref="B119:D119"/>
    <mergeCell ref="E119:AD119"/>
    <mergeCell ref="B108:D108"/>
    <mergeCell ref="B109:D109"/>
    <mergeCell ref="E109:AD109"/>
    <mergeCell ref="B110:AD110"/>
    <mergeCell ref="B113:D113"/>
    <mergeCell ref="E113:AD113"/>
    <mergeCell ref="B123:D123"/>
    <mergeCell ref="E123:AD123"/>
    <mergeCell ref="B124:D124"/>
    <mergeCell ref="E124:AD124"/>
    <mergeCell ref="B125:D125"/>
    <mergeCell ref="E125:AD125"/>
    <mergeCell ref="B120:D120"/>
    <mergeCell ref="E120:AD120"/>
    <mergeCell ref="B121:D121"/>
    <mergeCell ref="E121:AD121"/>
    <mergeCell ref="B122:D122"/>
    <mergeCell ref="E122:AD122"/>
    <mergeCell ref="B129:D129"/>
    <mergeCell ref="E129:G129"/>
    <mergeCell ref="H129:AD129"/>
    <mergeCell ref="B132:AF132"/>
    <mergeCell ref="B134:D134"/>
    <mergeCell ref="E134:AD134"/>
    <mergeCell ref="B126:D126"/>
    <mergeCell ref="E126:AD126"/>
    <mergeCell ref="B127:D127"/>
    <mergeCell ref="E127:AD127"/>
    <mergeCell ref="B128:D128"/>
    <mergeCell ref="E128:AD128"/>
    <mergeCell ref="B135:D135"/>
    <mergeCell ref="E135:AD135"/>
    <mergeCell ref="B136:D136"/>
    <mergeCell ref="E136:AD136"/>
    <mergeCell ref="B137:D157"/>
    <mergeCell ref="E137:AD137"/>
    <mergeCell ref="E138:AD138"/>
    <mergeCell ref="E139:AD139"/>
    <mergeCell ref="E140:AD140"/>
    <mergeCell ref="E142:AD142"/>
    <mergeCell ref="E149:AD149"/>
    <mergeCell ref="E150:AD150"/>
    <mergeCell ref="E151:AD151"/>
    <mergeCell ref="E152:AD152"/>
    <mergeCell ref="E153:AD153"/>
    <mergeCell ref="E154:AD154"/>
    <mergeCell ref="E143:AD143"/>
    <mergeCell ref="E144:AD144"/>
    <mergeCell ref="E145:AD145"/>
    <mergeCell ref="E146:AD146"/>
    <mergeCell ref="E147:AD147"/>
    <mergeCell ref="E148:AD148"/>
    <mergeCell ref="B163:D163"/>
    <mergeCell ref="E163:AD163"/>
    <mergeCell ref="B164:D164"/>
    <mergeCell ref="E164:AD164"/>
    <mergeCell ref="B165:D165"/>
    <mergeCell ref="E165:AD165"/>
    <mergeCell ref="E155:AD155"/>
    <mergeCell ref="E156:AD156"/>
    <mergeCell ref="E157:AD157"/>
    <mergeCell ref="B160:AF160"/>
    <mergeCell ref="B161:AD161"/>
    <mergeCell ref="B162:D162"/>
    <mergeCell ref="E162:AD162"/>
    <mergeCell ref="B176:AD176"/>
    <mergeCell ref="B177:AD177"/>
    <mergeCell ref="B183:AF185"/>
    <mergeCell ref="B166:D166"/>
    <mergeCell ref="E166:AD166"/>
    <mergeCell ref="B167:AD167"/>
    <mergeCell ref="B168:D168"/>
    <mergeCell ref="E168:AD168"/>
    <mergeCell ref="B169:AD169"/>
  </mergeCells>
  <conditionalFormatting sqref="AE36">
    <cfRule type="expression" dxfId="2" priority="1" stopIfTrue="1">
      <formula>AF36&lt;AE28</formula>
    </cfRule>
  </conditionalFormatting>
  <printOptions horizontalCentered="1"/>
  <pageMargins left="0.59027777777777779" right="0.59027777777777779" top="0.59027777777777779" bottom="0.59027777777777779" header="0.51181102362204722" footer="0.51181102362204722"/>
  <pageSetup paperSize="8" scale="62" firstPageNumber="0" orientation="landscape" horizontalDpi="300" verticalDpi="300" r:id="rId1"/>
  <headerFooter alignWithMargins="0"/>
  <rowBreaks count="2" manualBreakCount="2">
    <brk id="63" max="16383" man="1"/>
    <brk id="130" max="16383" man="1"/>
  </rowBreaks>
  <ignoredErrors>
    <ignoredError sqref="J5 AE5 AE7:AE8 AE11:AE12 AE14 AD13 AF120:AF128" unlockedFormula="1"/>
  </ignoredError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C26F-2D16-4EF2-B393-6CD862565FC1}">
  <sheetPr>
    <tabColor indexed="17"/>
  </sheetPr>
  <dimension ref="A1:BE185"/>
  <sheetViews>
    <sheetView showGridLines="0" topLeftCell="K97" zoomScaleNormal="100" workbookViewId="0">
      <selection activeCell="AF128" sqref="AF128"/>
    </sheetView>
  </sheetViews>
  <sheetFormatPr defaultColWidth="1.85546875" defaultRowHeight="12.75"/>
  <cols>
    <col min="1" max="1" width="1.85546875" style="1"/>
    <col min="2" max="2" width="4" style="1" customWidth="1"/>
    <col min="3" max="3" width="2" style="1" customWidth="1"/>
    <col min="4" max="4" width="2" style="2" customWidth="1"/>
    <col min="5" max="9" width="2.5703125" style="1" customWidth="1"/>
    <col min="10" max="10" width="3.140625" style="1" customWidth="1"/>
    <col min="11" max="13" width="2.5703125" style="1" customWidth="1"/>
    <col min="14" max="14" width="4.140625" style="1" customWidth="1"/>
    <col min="15" max="16" width="2.5703125" style="1" customWidth="1"/>
    <col min="17" max="17" width="4.28515625" style="1" customWidth="1"/>
    <col min="18" max="22" width="2.5703125" style="1" customWidth="1"/>
    <col min="23" max="23" width="3.42578125" style="1" customWidth="1"/>
    <col min="24" max="27" width="2.5703125" style="1" customWidth="1"/>
    <col min="28" max="28" width="3.85546875" style="1" customWidth="1"/>
    <col min="29" max="29" width="7.5703125" style="1" customWidth="1"/>
    <col min="30" max="30" width="11.28515625" style="1" customWidth="1"/>
    <col min="31" max="32" width="15.7109375" style="1" customWidth="1"/>
    <col min="33" max="33" width="8.85546875" style="1" customWidth="1"/>
    <col min="34" max="34" width="9.42578125" style="1" customWidth="1"/>
    <col min="35" max="35" width="21.85546875" style="1" customWidth="1"/>
    <col min="36" max="36" width="5.42578125" style="1" customWidth="1"/>
    <col min="37" max="37" width="16.42578125" style="1" customWidth="1"/>
    <col min="38" max="62" width="5.42578125" style="1" customWidth="1"/>
    <col min="63" max="16384" width="1.85546875" style="1"/>
  </cols>
  <sheetData>
    <row r="1" spans="1:35" ht="13.5" thickBot="1">
      <c r="A1" s="1" t="s">
        <v>363</v>
      </c>
    </row>
    <row r="2" spans="1:35" ht="18.75" customHeight="1">
      <c r="B2" s="543" t="s">
        <v>415</v>
      </c>
      <c r="C2" s="544"/>
      <c r="D2" s="544"/>
      <c r="E2" s="544"/>
      <c r="F2" s="544"/>
      <c r="G2" s="544"/>
      <c r="H2" s="544"/>
      <c r="I2" s="544"/>
      <c r="J2" s="544"/>
      <c r="K2" s="544"/>
      <c r="L2" s="544"/>
      <c r="M2" s="544"/>
      <c r="N2" s="544"/>
      <c r="O2" s="544"/>
      <c r="P2" s="544"/>
      <c r="Q2" s="544"/>
      <c r="R2" s="544"/>
      <c r="S2" s="544"/>
      <c r="T2" s="544"/>
      <c r="U2" s="544"/>
      <c r="V2" s="544"/>
      <c r="W2" s="544"/>
      <c r="X2" s="544"/>
      <c r="Y2" s="544"/>
      <c r="Z2" s="544"/>
      <c r="AA2" s="544"/>
      <c r="AB2" s="544"/>
      <c r="AC2" s="544"/>
      <c r="AD2" s="544"/>
      <c r="AE2" s="544"/>
      <c r="AF2" s="545"/>
      <c r="AH2" s="517" t="s">
        <v>344</v>
      </c>
      <c r="AI2" s="102" t="s">
        <v>343</v>
      </c>
    </row>
    <row r="3" spans="1:35" ht="18.75" customHeight="1" thickBot="1">
      <c r="B3" s="546"/>
      <c r="C3" s="547"/>
      <c r="D3" s="547"/>
      <c r="E3" s="547"/>
      <c r="F3" s="547"/>
      <c r="G3" s="547"/>
      <c r="H3" s="547"/>
      <c r="I3" s="547"/>
      <c r="J3" s="547"/>
      <c r="K3" s="547"/>
      <c r="L3" s="547"/>
      <c r="M3" s="547"/>
      <c r="N3" s="547"/>
      <c r="O3" s="547"/>
      <c r="P3" s="547"/>
      <c r="Q3" s="547"/>
      <c r="R3" s="547"/>
      <c r="S3" s="547"/>
      <c r="T3" s="547"/>
      <c r="U3" s="547"/>
      <c r="V3" s="547"/>
      <c r="W3" s="547"/>
      <c r="X3" s="547"/>
      <c r="Y3" s="547"/>
      <c r="Z3" s="547"/>
      <c r="AA3" s="547"/>
      <c r="AB3" s="547"/>
      <c r="AC3" s="547"/>
      <c r="AD3" s="547"/>
      <c r="AE3" s="547"/>
      <c r="AF3" s="548"/>
      <c r="AH3" s="517"/>
      <c r="AI3" s="103" t="s">
        <v>345</v>
      </c>
    </row>
    <row r="4" spans="1:35" ht="13.5" thickBot="1"/>
    <row r="5" spans="1:35" ht="31.5" customHeight="1" thickBot="1">
      <c r="B5" s="433" t="s">
        <v>190</v>
      </c>
      <c r="C5" s="434"/>
      <c r="D5" s="434"/>
      <c r="E5" s="434"/>
      <c r="F5" s="434"/>
      <c r="G5" s="434"/>
      <c r="H5" s="434"/>
      <c r="I5" s="435"/>
      <c r="J5" s="538" t="str">
        <f>'II. PCFP Vigilante Diurno'!J5</f>
        <v>( ? )</v>
      </c>
      <c r="K5" s="539"/>
      <c r="L5" s="539"/>
      <c r="M5" s="539"/>
      <c r="N5" s="539"/>
      <c r="O5" s="539"/>
      <c r="P5" s="539"/>
      <c r="Q5" s="539"/>
      <c r="R5" s="539"/>
      <c r="S5" s="539"/>
      <c r="T5" s="539"/>
      <c r="U5" s="539"/>
      <c r="V5" s="539"/>
      <c r="W5" s="539"/>
      <c r="X5" s="539"/>
      <c r="Y5" s="539"/>
      <c r="Z5" s="539"/>
      <c r="AA5" s="539"/>
      <c r="AB5" s="540"/>
      <c r="AD5" s="256" t="s">
        <v>191</v>
      </c>
      <c r="AE5" s="541" t="str">
        <f>'II. PCFP Vigilante Diurno'!AE5</f>
        <v>( ? )</v>
      </c>
      <c r="AF5" s="542"/>
    </row>
    <row r="6" spans="1:35" ht="13.5" thickBot="1"/>
    <row r="7" spans="1:35" ht="16.5" customHeight="1">
      <c r="B7" s="438" t="s">
        <v>2</v>
      </c>
      <c r="C7" s="377"/>
      <c r="D7" s="377"/>
      <c r="E7" s="377"/>
      <c r="F7" s="377"/>
      <c r="G7" s="377"/>
      <c r="H7" s="377"/>
      <c r="I7" s="378"/>
      <c r="J7" s="257">
        <v>3</v>
      </c>
      <c r="K7" s="439" t="str">
        <f>IF(J7=1,"Simples Nacional",IF(J7=2,"Lucro Real",IF(J7=3,"Lucro Presumido","Digite 1, 2 ou 3")))</f>
        <v>Lucro Presumido</v>
      </c>
      <c r="L7" s="440"/>
      <c r="M7" s="440"/>
      <c r="N7" s="440"/>
      <c r="O7" s="440"/>
      <c r="P7" s="441"/>
      <c r="Q7" s="442"/>
      <c r="AB7" s="376" t="s">
        <v>369</v>
      </c>
      <c r="AC7" s="377"/>
      <c r="AD7" s="378"/>
      <c r="AE7" s="443">
        <f>'II. PCFP Vigilante Diurno'!AE7</f>
        <v>1000000303</v>
      </c>
      <c r="AF7" s="444"/>
    </row>
    <row r="8" spans="1:35" ht="16.5" customHeight="1" thickBot="1">
      <c r="B8" s="445" t="s">
        <v>4</v>
      </c>
      <c r="C8" s="374"/>
      <c r="D8" s="374"/>
      <c r="E8" s="374"/>
      <c r="F8" s="374"/>
      <c r="G8" s="374"/>
      <c r="H8" s="374"/>
      <c r="I8" s="375"/>
      <c r="J8" s="446">
        <f>1-AE137</f>
        <v>0.91349999999999998</v>
      </c>
      <c r="K8" s="447"/>
      <c r="L8" s="448"/>
      <c r="M8" s="448"/>
      <c r="N8" s="448"/>
      <c r="O8" s="448"/>
      <c r="P8" s="447"/>
      <c r="Q8" s="449"/>
      <c r="AB8" s="373" t="s">
        <v>192</v>
      </c>
      <c r="AC8" s="374"/>
      <c r="AD8" s="375"/>
      <c r="AE8" s="528" t="str">
        <f>'II. PCFP Vigilante Diurno'!AE8</f>
        <v>303/2025</v>
      </c>
      <c r="AF8" s="529"/>
    </row>
    <row r="9" spans="1:35" ht="13.5" thickBot="1"/>
    <row r="10" spans="1:35" ht="17.25" customHeight="1">
      <c r="B10" s="450" t="s">
        <v>6</v>
      </c>
      <c r="C10" s="451"/>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2"/>
    </row>
    <row r="11" spans="1:35" ht="17.25" customHeight="1">
      <c r="B11" s="416" t="s">
        <v>7</v>
      </c>
      <c r="C11" s="417"/>
      <c r="D11" s="418"/>
      <c r="E11" s="53" t="s">
        <v>8</v>
      </c>
      <c r="F11" s="4"/>
      <c r="G11" s="4"/>
      <c r="H11" s="4"/>
      <c r="I11" s="4"/>
      <c r="J11" s="4"/>
      <c r="K11" s="4"/>
      <c r="L11" s="4"/>
      <c r="M11" s="4"/>
      <c r="N11" s="4"/>
      <c r="O11" s="4"/>
      <c r="P11" s="4"/>
      <c r="Q11" s="4"/>
      <c r="R11" s="4"/>
      <c r="S11" s="4"/>
      <c r="T11" s="4"/>
      <c r="U11" s="4"/>
      <c r="V11" s="4"/>
      <c r="W11" s="4"/>
      <c r="X11" s="4"/>
      <c r="Y11" s="4"/>
      <c r="Z11" s="4"/>
      <c r="AA11" s="4"/>
      <c r="AB11" s="4"/>
      <c r="AC11" s="4"/>
      <c r="AD11" s="4"/>
      <c r="AE11" s="530">
        <f ca="1">'II. PCFP Vigilante Diurno'!AE11</f>
        <v>46001</v>
      </c>
      <c r="AF11" s="531"/>
    </row>
    <row r="12" spans="1:35" ht="17.25" customHeight="1">
      <c r="B12" s="416" t="s">
        <v>9</v>
      </c>
      <c r="C12" s="417"/>
      <c r="D12" s="418"/>
      <c r="E12" s="53" t="s">
        <v>10</v>
      </c>
      <c r="F12" s="4"/>
      <c r="G12" s="4"/>
      <c r="H12" s="4"/>
      <c r="I12" s="4"/>
      <c r="J12" s="4"/>
      <c r="K12" s="4"/>
      <c r="L12" s="4"/>
      <c r="M12" s="4"/>
      <c r="N12" s="4"/>
      <c r="O12" s="4"/>
      <c r="P12" s="4"/>
      <c r="Q12" s="4"/>
      <c r="R12" s="4"/>
      <c r="S12" s="4"/>
      <c r="T12" s="4"/>
      <c r="U12" s="4"/>
      <c r="V12" s="4"/>
      <c r="W12" s="4"/>
      <c r="X12" s="4"/>
      <c r="Y12" s="4"/>
      <c r="Z12" s="4"/>
      <c r="AA12" s="4"/>
      <c r="AB12" s="4"/>
      <c r="AC12" s="4"/>
      <c r="AD12" s="4"/>
      <c r="AE12" s="455" t="str">
        <f>'II. PCFP Vigilante Diurno'!AE12</f>
        <v>Paranaguá/PR</v>
      </c>
      <c r="AF12" s="456"/>
    </row>
    <row r="13" spans="1:35" ht="17.25" customHeight="1">
      <c r="B13" s="416" t="s">
        <v>11</v>
      </c>
      <c r="C13" s="417"/>
      <c r="D13" s="418"/>
      <c r="E13" s="53" t="s">
        <v>12</v>
      </c>
      <c r="F13" s="4"/>
      <c r="G13" s="4"/>
      <c r="H13" s="4"/>
      <c r="I13" s="4"/>
      <c r="J13" s="4"/>
      <c r="K13" s="4"/>
      <c r="L13" s="4"/>
      <c r="M13" s="4"/>
      <c r="N13" s="4"/>
      <c r="O13" s="4"/>
      <c r="P13" s="4"/>
      <c r="Q13" s="4"/>
      <c r="R13" s="4"/>
      <c r="S13" s="4"/>
      <c r="T13" s="4"/>
      <c r="U13" s="4"/>
      <c r="V13" s="4"/>
      <c r="W13" s="4"/>
      <c r="X13" s="4"/>
      <c r="Y13" s="4"/>
      <c r="Z13" s="4"/>
      <c r="AA13" s="4"/>
      <c r="AB13" s="4"/>
      <c r="AC13" s="4"/>
      <c r="AD13" s="260" t="str">
        <f>'II. PCFP Vigilante Diurno'!AD13</f>
        <v>CCT</v>
      </c>
      <c r="AE13" s="524" t="str">
        <f>'II. PCFP Vigilante Diurno'!AE13</f>
        <v>PR000353/2024</v>
      </c>
      <c r="AF13" s="525"/>
      <c r="AH13" s="143"/>
    </row>
    <row r="14" spans="1:35" ht="17.25" customHeight="1" thickBot="1">
      <c r="B14" s="373" t="s">
        <v>13</v>
      </c>
      <c r="C14" s="374"/>
      <c r="D14" s="375"/>
      <c r="E14" s="110" t="s">
        <v>14</v>
      </c>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526">
        <f>'II. PCFP Vigilante Diurno'!AE14</f>
        <v>30</v>
      </c>
      <c r="AF14" s="527"/>
    </row>
    <row r="15" spans="1:35" ht="13.5" thickBot="1">
      <c r="B15" s="54"/>
      <c r="C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row>
    <row r="16" spans="1:35" ht="16.5" customHeight="1">
      <c r="B16" s="450" t="s">
        <v>15</v>
      </c>
      <c r="C16" s="451"/>
      <c r="D16" s="451"/>
      <c r="E16" s="451"/>
      <c r="F16" s="451"/>
      <c r="G16" s="451"/>
      <c r="H16" s="451"/>
      <c r="I16" s="451"/>
      <c r="J16" s="451"/>
      <c r="K16" s="451"/>
      <c r="L16" s="451"/>
      <c r="M16" s="451"/>
      <c r="N16" s="451"/>
      <c r="O16" s="451"/>
      <c r="P16" s="451"/>
      <c r="Q16" s="451"/>
      <c r="R16" s="451"/>
      <c r="S16" s="451"/>
      <c r="T16" s="451"/>
      <c r="U16" s="451"/>
      <c r="V16" s="451"/>
      <c r="W16" s="451"/>
      <c r="X16" s="451"/>
      <c r="Y16" s="451"/>
      <c r="Z16" s="451"/>
      <c r="AA16" s="451"/>
      <c r="AB16" s="451"/>
      <c r="AC16" s="451"/>
      <c r="AD16" s="451"/>
      <c r="AE16" s="451"/>
      <c r="AF16" s="452"/>
    </row>
    <row r="17" spans="2:36" ht="15.75" customHeight="1">
      <c r="B17" s="255" t="s">
        <v>16</v>
      </c>
      <c r="C17" s="78"/>
      <c r="D17" s="78"/>
      <c r="E17" s="258"/>
      <c r="F17" s="78"/>
      <c r="G17" s="78"/>
      <c r="H17" s="78"/>
      <c r="I17" s="78"/>
      <c r="J17" s="78"/>
      <c r="K17" s="78"/>
      <c r="L17" s="78"/>
      <c r="M17" s="78"/>
      <c r="N17" s="78"/>
      <c r="O17" s="78"/>
      <c r="P17" s="78"/>
      <c r="Q17" s="78"/>
      <c r="R17" s="78"/>
      <c r="S17" s="78"/>
      <c r="T17" s="78"/>
      <c r="U17" s="78"/>
      <c r="V17" s="78"/>
      <c r="W17" s="79"/>
      <c r="X17" s="77" t="s">
        <v>17</v>
      </c>
      <c r="Y17" s="80"/>
      <c r="Z17" s="80"/>
      <c r="AA17" s="80"/>
      <c r="AB17" s="80"/>
      <c r="AC17" s="80"/>
      <c r="AD17" s="81"/>
      <c r="AE17" s="461" t="s">
        <v>194</v>
      </c>
      <c r="AF17" s="462"/>
    </row>
    <row r="18" spans="2:36" s="6" customFormat="1" ht="24.75" customHeight="1">
      <c r="B18" s="388" t="s">
        <v>417</v>
      </c>
      <c r="C18" s="389"/>
      <c r="D18" s="389"/>
      <c r="E18" s="389"/>
      <c r="F18" s="389"/>
      <c r="G18" s="389"/>
      <c r="H18" s="389"/>
      <c r="I18" s="389"/>
      <c r="J18" s="389"/>
      <c r="K18" s="389"/>
      <c r="L18" s="390"/>
      <c r="M18" s="390"/>
      <c r="N18" s="390"/>
      <c r="O18" s="390"/>
      <c r="P18" s="389"/>
      <c r="Q18" s="389"/>
      <c r="R18" s="389"/>
      <c r="S18" s="389"/>
      <c r="T18" s="389"/>
      <c r="U18" s="389"/>
      <c r="V18" s="389"/>
      <c r="W18" s="391"/>
      <c r="X18" s="392" t="s">
        <v>195</v>
      </c>
      <c r="Y18" s="393"/>
      <c r="Z18" s="393"/>
      <c r="AA18" s="393"/>
      <c r="AB18" s="393"/>
      <c r="AC18" s="393"/>
      <c r="AD18" s="394"/>
      <c r="AE18" s="395">
        <v>2</v>
      </c>
      <c r="AF18" s="396"/>
    </row>
    <row r="19" spans="2:36" s="6" customFormat="1" ht="21" customHeight="1">
      <c r="B19" s="379" t="s">
        <v>196</v>
      </c>
      <c r="C19" s="380"/>
      <c r="D19" s="380"/>
      <c r="E19" s="380"/>
      <c r="F19" s="380"/>
      <c r="G19" s="380"/>
      <c r="H19" s="380"/>
      <c r="I19" s="380"/>
      <c r="J19" s="380"/>
      <c r="K19" s="380"/>
      <c r="L19" s="380"/>
      <c r="M19" s="380"/>
      <c r="N19" s="380"/>
      <c r="O19" s="380"/>
      <c r="P19" s="380"/>
      <c r="Q19" s="380"/>
      <c r="R19" s="380"/>
      <c r="S19" s="380"/>
      <c r="T19" s="380"/>
      <c r="U19" s="380"/>
      <c r="V19" s="380"/>
      <c r="W19" s="381"/>
      <c r="X19" s="392" t="s">
        <v>364</v>
      </c>
      <c r="Y19" s="393"/>
      <c r="Z19" s="393"/>
      <c r="AA19" s="393"/>
      <c r="AB19" s="393"/>
      <c r="AC19" s="393"/>
      <c r="AD19" s="394"/>
      <c r="AE19" s="397">
        <v>1</v>
      </c>
      <c r="AF19" s="398"/>
    </row>
    <row r="20" spans="2:36" s="6" customFormat="1" ht="21" customHeight="1">
      <c r="B20" s="382"/>
      <c r="C20" s="383"/>
      <c r="D20" s="383"/>
      <c r="E20" s="383"/>
      <c r="F20" s="383"/>
      <c r="G20" s="383"/>
      <c r="H20" s="383"/>
      <c r="I20" s="383"/>
      <c r="J20" s="383"/>
      <c r="K20" s="383"/>
      <c r="L20" s="383"/>
      <c r="M20" s="383"/>
      <c r="N20" s="383"/>
      <c r="O20" s="383"/>
      <c r="P20" s="383"/>
      <c r="Q20" s="383"/>
      <c r="R20" s="383"/>
      <c r="S20" s="383"/>
      <c r="T20" s="383"/>
      <c r="U20" s="383"/>
      <c r="V20" s="383"/>
      <c r="W20" s="384"/>
      <c r="X20" s="392" t="s">
        <v>365</v>
      </c>
      <c r="Y20" s="393"/>
      <c r="Z20" s="393"/>
      <c r="AA20" s="393"/>
      <c r="AB20" s="393"/>
      <c r="AC20" s="393"/>
      <c r="AD20" s="394"/>
      <c r="AE20" s="397">
        <f>AE18*AE19</f>
        <v>2</v>
      </c>
      <c r="AF20" s="398"/>
    </row>
    <row r="21" spans="2:36" s="6" customFormat="1" ht="16.5" customHeight="1" thickBot="1">
      <c r="B21" s="385"/>
      <c r="C21" s="386"/>
      <c r="D21" s="386"/>
      <c r="E21" s="386"/>
      <c r="F21" s="386"/>
      <c r="G21" s="386"/>
      <c r="H21" s="386"/>
      <c r="I21" s="386"/>
      <c r="J21" s="386"/>
      <c r="K21" s="386"/>
      <c r="L21" s="386"/>
      <c r="M21" s="386"/>
      <c r="N21" s="386"/>
      <c r="O21" s="386"/>
      <c r="P21" s="386"/>
      <c r="Q21" s="386"/>
      <c r="R21" s="386"/>
      <c r="S21" s="386"/>
      <c r="T21" s="386"/>
      <c r="U21" s="386"/>
      <c r="V21" s="386"/>
      <c r="W21" s="387"/>
      <c r="X21" s="399" t="s">
        <v>197</v>
      </c>
      <c r="Y21" s="400"/>
      <c r="Z21" s="400"/>
      <c r="AA21" s="400"/>
      <c r="AB21" s="400"/>
      <c r="AC21" s="400"/>
      <c r="AD21" s="401"/>
      <c r="AE21" s="402" t="s">
        <v>198</v>
      </c>
      <c r="AF21" s="403"/>
    </row>
    <row r="22" spans="2:36" ht="13.5" thickBot="1"/>
    <row r="23" spans="2:36" ht="12.75" customHeight="1">
      <c r="B23" s="404" t="s">
        <v>22</v>
      </c>
      <c r="C23" s="405"/>
      <c r="D23" s="405"/>
      <c r="E23" s="405"/>
      <c r="F23" s="405"/>
      <c r="G23" s="405"/>
      <c r="H23" s="405"/>
      <c r="I23" s="405"/>
      <c r="J23" s="405"/>
      <c r="K23" s="405"/>
      <c r="L23" s="405"/>
      <c r="M23" s="405"/>
      <c r="N23" s="405"/>
      <c r="O23" s="405"/>
      <c r="P23" s="405"/>
      <c r="Q23" s="405"/>
      <c r="R23" s="405"/>
      <c r="S23" s="405"/>
      <c r="T23" s="405"/>
      <c r="U23" s="405"/>
      <c r="V23" s="405"/>
      <c r="W23" s="405"/>
      <c r="X23" s="405"/>
      <c r="Y23" s="405"/>
      <c r="Z23" s="405"/>
      <c r="AA23" s="405"/>
      <c r="AB23" s="405"/>
      <c r="AC23" s="405"/>
      <c r="AD23" s="406"/>
      <c r="AE23" s="410" t="s">
        <v>199</v>
      </c>
      <c r="AF23" s="411"/>
    </row>
    <row r="24" spans="2:36" ht="12.75" customHeight="1">
      <c r="B24" s="407"/>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9"/>
      <c r="AE24" s="412"/>
      <c r="AF24" s="413"/>
    </row>
    <row r="25" spans="2:36" ht="20.25" customHeight="1">
      <c r="B25" s="255" t="s">
        <v>23</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414"/>
      <c r="AF25" s="415"/>
    </row>
    <row r="26" spans="2:36" ht="24" customHeight="1">
      <c r="B26" s="416">
        <v>1</v>
      </c>
      <c r="C26" s="417"/>
      <c r="D26" s="418"/>
      <c r="E26" s="419" t="s">
        <v>25</v>
      </c>
      <c r="F26" s="420"/>
      <c r="G26" s="420"/>
      <c r="H26" s="420"/>
      <c r="I26" s="420"/>
      <c r="J26" s="420"/>
      <c r="K26" s="420"/>
      <c r="L26" s="295"/>
      <c r="M26" s="295"/>
      <c r="N26" s="295"/>
      <c r="O26" s="295"/>
      <c r="P26" s="420"/>
      <c r="Q26" s="420"/>
      <c r="R26" s="420"/>
      <c r="S26" s="420"/>
      <c r="T26" s="420"/>
      <c r="U26" s="420"/>
      <c r="V26" s="420"/>
      <c r="W26" s="420"/>
      <c r="X26" s="420"/>
      <c r="Y26" s="420"/>
      <c r="Z26" s="420"/>
      <c r="AA26" s="420"/>
      <c r="AB26" s="420"/>
      <c r="AC26" s="420"/>
      <c r="AD26" s="421"/>
      <c r="AE26" s="422" t="str">
        <f>IF(B18="","",B18)</f>
        <v>SUPERVISOR DE VIGILÂNCIA ARMADA – DIURNO</v>
      </c>
      <c r="AF26" s="423"/>
    </row>
    <row r="27" spans="2:36" ht="26.25" customHeight="1">
      <c r="B27" s="416">
        <v>2</v>
      </c>
      <c r="C27" s="417"/>
      <c r="D27" s="418"/>
      <c r="E27" s="419" t="s">
        <v>200</v>
      </c>
      <c r="F27" s="420"/>
      <c r="G27" s="420"/>
      <c r="H27" s="420"/>
      <c r="I27" s="420"/>
      <c r="J27" s="420"/>
      <c r="K27" s="420"/>
      <c r="L27" s="295"/>
      <c r="M27" s="295"/>
      <c r="N27" s="295"/>
      <c r="O27" s="295"/>
      <c r="P27" s="420"/>
      <c r="Q27" s="420"/>
      <c r="R27" s="420"/>
      <c r="S27" s="420"/>
      <c r="T27" s="420"/>
      <c r="U27" s="420"/>
      <c r="V27" s="420"/>
      <c r="W27" s="420"/>
      <c r="X27" s="420"/>
      <c r="Y27" s="420"/>
      <c r="Z27" s="420"/>
      <c r="AA27" s="420"/>
      <c r="AB27" s="420"/>
      <c r="AC27" s="420"/>
      <c r="AD27" s="421"/>
      <c r="AE27" s="424" t="s">
        <v>201</v>
      </c>
      <c r="AF27" s="425"/>
      <c r="AG27" s="143"/>
    </row>
    <row r="28" spans="2:36" ht="26.25" customHeight="1">
      <c r="B28" s="416">
        <v>3</v>
      </c>
      <c r="C28" s="426"/>
      <c r="D28" s="426"/>
      <c r="E28" s="419" t="s">
        <v>202</v>
      </c>
      <c r="F28" s="420"/>
      <c r="G28" s="420"/>
      <c r="H28" s="420"/>
      <c r="I28" s="420"/>
      <c r="J28" s="420"/>
      <c r="K28" s="420"/>
      <c r="L28" s="295"/>
      <c r="M28" s="295"/>
      <c r="N28" s="295"/>
      <c r="O28" s="295"/>
      <c r="P28" s="420"/>
      <c r="Q28" s="420"/>
      <c r="R28" s="420"/>
      <c r="S28" s="420"/>
      <c r="T28" s="420"/>
      <c r="U28" s="420"/>
      <c r="V28" s="420"/>
      <c r="W28" s="420"/>
      <c r="X28" s="420"/>
      <c r="Y28" s="420"/>
      <c r="Z28" s="420"/>
      <c r="AA28" s="420"/>
      <c r="AB28" s="420"/>
      <c r="AC28" s="420"/>
      <c r="AD28" s="421"/>
      <c r="AE28" s="463">
        <v>2626</v>
      </c>
      <c r="AF28" s="464"/>
      <c r="AG28" s="427" t="s">
        <v>322</v>
      </c>
      <c r="AH28" s="427"/>
      <c r="AI28" s="427"/>
      <c r="AJ28" s="427"/>
    </row>
    <row r="29" spans="2:36" ht="26.25" customHeight="1">
      <c r="B29" s="416">
        <v>4</v>
      </c>
      <c r="C29" s="426"/>
      <c r="D29" s="426"/>
      <c r="E29" s="419" t="s">
        <v>27</v>
      </c>
      <c r="F29" s="419"/>
      <c r="G29" s="419"/>
      <c r="H29" s="419"/>
      <c r="I29" s="419"/>
      <c r="J29" s="419"/>
      <c r="K29" s="419"/>
      <c r="L29" s="295"/>
      <c r="M29" s="419"/>
      <c r="N29" s="419"/>
      <c r="O29" s="419"/>
      <c r="P29" s="419"/>
      <c r="Q29" s="419"/>
      <c r="R29" s="419"/>
      <c r="S29" s="419"/>
      <c r="T29" s="419"/>
      <c r="U29" s="419"/>
      <c r="V29" s="419"/>
      <c r="W29" s="419"/>
      <c r="X29" s="419"/>
      <c r="Y29" s="419"/>
      <c r="Z29" s="419"/>
      <c r="AA29" s="419"/>
      <c r="AB29" s="419"/>
      <c r="AC29" s="419"/>
      <c r="AD29" s="419"/>
      <c r="AE29" s="424" t="s">
        <v>419</v>
      </c>
      <c r="AF29" s="425"/>
    </row>
    <row r="30" spans="2:36" ht="26.25" customHeight="1">
      <c r="B30" s="416">
        <v>5</v>
      </c>
      <c r="C30" s="426"/>
      <c r="D30" s="426"/>
      <c r="E30" s="419" t="s">
        <v>28</v>
      </c>
      <c r="F30" s="419"/>
      <c r="G30" s="419"/>
      <c r="H30" s="419"/>
      <c r="I30" s="419"/>
      <c r="J30" s="419"/>
      <c r="K30" s="419"/>
      <c r="L30" s="295"/>
      <c r="M30" s="419"/>
      <c r="N30" s="419"/>
      <c r="O30" s="419"/>
      <c r="P30" s="419"/>
      <c r="Q30" s="419"/>
      <c r="R30" s="419"/>
      <c r="S30" s="419"/>
      <c r="T30" s="419"/>
      <c r="U30" s="419"/>
      <c r="V30" s="419"/>
      <c r="W30" s="419"/>
      <c r="X30" s="419"/>
      <c r="Y30" s="419"/>
      <c r="Z30" s="419"/>
      <c r="AA30" s="419"/>
      <c r="AB30" s="419"/>
      <c r="AC30" s="419"/>
      <c r="AD30" s="419"/>
      <c r="AE30" s="453">
        <v>45323</v>
      </c>
      <c r="AF30" s="454"/>
    </row>
    <row r="31" spans="2:36" ht="26.25" customHeight="1" thickBot="1">
      <c r="B31" s="373">
        <v>6</v>
      </c>
      <c r="C31" s="374"/>
      <c r="D31" s="375"/>
      <c r="E31" s="399" t="s">
        <v>300</v>
      </c>
      <c r="F31" s="400"/>
      <c r="G31" s="400"/>
      <c r="H31" s="400"/>
      <c r="I31" s="400"/>
      <c r="J31" s="400"/>
      <c r="K31" s="400"/>
      <c r="L31" s="465"/>
      <c r="M31" s="465"/>
      <c r="N31" s="465"/>
      <c r="O31" s="465"/>
      <c r="P31" s="400"/>
      <c r="Q31" s="400"/>
      <c r="R31" s="400"/>
      <c r="S31" s="400"/>
      <c r="T31" s="400"/>
      <c r="U31" s="400"/>
      <c r="V31" s="400"/>
      <c r="W31" s="400"/>
      <c r="X31" s="400"/>
      <c r="Y31" s="400"/>
      <c r="Z31" s="400"/>
      <c r="AA31" s="400"/>
      <c r="AB31" s="400"/>
      <c r="AC31" s="400"/>
      <c r="AD31" s="401"/>
      <c r="AE31" s="466">
        <v>1518</v>
      </c>
      <c r="AF31" s="467"/>
      <c r="AG31" s="1" t="s">
        <v>323</v>
      </c>
    </row>
    <row r="32" spans="2:36" s="55" customFormat="1" ht="13.5" thickBot="1">
      <c r="D32" s="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56"/>
      <c r="AF32" s="57"/>
    </row>
    <row r="33" spans="1:37" ht="24" customHeight="1" thickBot="1">
      <c r="B33" s="518" t="s">
        <v>29</v>
      </c>
      <c r="C33" s="519"/>
      <c r="D33" s="519"/>
      <c r="E33" s="519"/>
      <c r="F33" s="519"/>
      <c r="G33" s="519"/>
      <c r="H33" s="519"/>
      <c r="I33" s="519"/>
      <c r="J33" s="519"/>
      <c r="K33" s="519"/>
      <c r="L33" s="519"/>
      <c r="M33" s="519"/>
      <c r="N33" s="519"/>
      <c r="O33" s="519"/>
      <c r="P33" s="519"/>
      <c r="Q33" s="519"/>
      <c r="R33" s="519"/>
      <c r="S33" s="519"/>
      <c r="T33" s="519"/>
      <c r="U33" s="519"/>
      <c r="V33" s="519"/>
      <c r="W33" s="519"/>
      <c r="X33" s="519"/>
      <c r="Y33" s="519"/>
      <c r="Z33" s="519"/>
      <c r="AA33" s="519"/>
      <c r="AB33" s="519"/>
      <c r="AC33" s="519"/>
      <c r="AD33" s="519"/>
      <c r="AE33" s="519"/>
      <c r="AF33" s="520"/>
    </row>
    <row r="34" spans="1:37" s="55" customFormat="1" ht="13.5" thickBot="1">
      <c r="D34" s="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56"/>
      <c r="AF34" s="57"/>
    </row>
    <row r="35" spans="1:37" ht="18.75" customHeight="1">
      <c r="B35" s="472">
        <v>1</v>
      </c>
      <c r="C35" s="473"/>
      <c r="D35" s="473"/>
      <c r="E35" s="474" t="s">
        <v>325</v>
      </c>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216" t="s">
        <v>31</v>
      </c>
      <c r="AF35" s="217" t="s">
        <v>24</v>
      </c>
    </row>
    <row r="36" spans="1:37" ht="25.5" customHeight="1">
      <c r="B36" s="468" t="s">
        <v>7</v>
      </c>
      <c r="C36" s="284"/>
      <c r="D36" s="284"/>
      <c r="E36" s="295" t="s">
        <v>204</v>
      </c>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179" t="str">
        <f>IF(AF36&lt;AE28,"Salário Base insuficiente!","Salário Base atende a CCT.")</f>
        <v>Salário Base atende a CCT.</v>
      </c>
      <c r="AF36" s="253">
        <v>3413.8</v>
      </c>
      <c r="AG36" s="1" t="s">
        <v>371</v>
      </c>
    </row>
    <row r="37" spans="1:37" ht="21.75" customHeight="1">
      <c r="B37" s="468" t="s">
        <v>9</v>
      </c>
      <c r="C37" s="284"/>
      <c r="D37" s="284"/>
      <c r="E37" s="53" t="s">
        <v>205</v>
      </c>
      <c r="F37" s="4"/>
      <c r="G37" s="4"/>
      <c r="H37" s="4"/>
      <c r="I37" s="4"/>
      <c r="J37" s="4"/>
      <c r="K37" s="4"/>
      <c r="L37" s="4"/>
      <c r="M37" s="4"/>
      <c r="N37" s="4"/>
      <c r="O37" s="4"/>
      <c r="P37" s="4"/>
      <c r="Q37" s="4"/>
      <c r="R37" s="4"/>
      <c r="S37" s="4"/>
      <c r="T37" s="4"/>
      <c r="U37" s="4"/>
      <c r="V37" s="4"/>
      <c r="W37" s="4"/>
      <c r="X37" s="4"/>
      <c r="Y37" s="4"/>
      <c r="Z37" s="4"/>
      <c r="AA37" s="4"/>
      <c r="AB37" s="4"/>
      <c r="AC37" s="4"/>
      <c r="AD37" s="58"/>
      <c r="AE37" s="131">
        <v>0</v>
      </c>
      <c r="AF37" s="230">
        <f>ROUND(AF$36*AE37,2)</f>
        <v>0</v>
      </c>
      <c r="AG37" s="429" t="s">
        <v>370</v>
      </c>
      <c r="AH37" s="432"/>
      <c r="AI37" s="432"/>
      <c r="AJ37" s="432"/>
      <c r="AK37" s="432"/>
    </row>
    <row r="38" spans="1:37" ht="21.75" customHeight="1">
      <c r="B38" s="468" t="s">
        <v>11</v>
      </c>
      <c r="C38" s="284"/>
      <c r="D38" s="284"/>
      <c r="E38" s="475" t="s">
        <v>451</v>
      </c>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127"/>
      <c r="AE38" s="131">
        <v>0</v>
      </c>
      <c r="AF38" s="230">
        <f>IF(AD38&lt;&gt;"",AE38*AF36,AE38*AE$31)</f>
        <v>0</v>
      </c>
      <c r="AG38" s="429"/>
      <c r="AH38" s="432"/>
      <c r="AI38" s="432"/>
      <c r="AJ38" s="432"/>
      <c r="AK38" s="432"/>
    </row>
    <row r="39" spans="1:37" ht="21.75" customHeight="1">
      <c r="B39" s="468" t="s">
        <v>13</v>
      </c>
      <c r="C39" s="284"/>
      <c r="D39" s="284"/>
      <c r="E39" s="53" t="s">
        <v>207</v>
      </c>
      <c r="F39" s="4"/>
      <c r="G39" s="4"/>
      <c r="H39" s="4"/>
      <c r="I39" s="4"/>
      <c r="J39" s="4"/>
      <c r="K39" s="4"/>
      <c r="L39" s="4"/>
      <c r="M39" s="4"/>
      <c r="N39" s="4"/>
      <c r="O39" s="4"/>
      <c r="P39" s="4"/>
      <c r="Q39" s="4"/>
      <c r="R39" s="4"/>
      <c r="S39" s="4"/>
      <c r="T39" s="4"/>
      <c r="U39" s="4"/>
      <c r="V39" s="4"/>
      <c r="W39" s="4"/>
      <c r="X39" s="4"/>
      <c r="Y39" s="4"/>
      <c r="Z39" s="4"/>
      <c r="AA39" s="4"/>
      <c r="AB39" s="4"/>
      <c r="AC39" s="4"/>
      <c r="AD39" s="127"/>
      <c r="AE39" s="142">
        <f>IF(AF$36=0,"",AF39/AF$36)</f>
        <v>0</v>
      </c>
      <c r="AF39" s="230">
        <f>IF(AD39="",0,ROUND((8*(7*4.345))*(((AF$36+AF$37)/220)*AD39)/2,2))</f>
        <v>0</v>
      </c>
    </row>
    <row r="40" spans="1:37" ht="21.75" customHeight="1">
      <c r="A40" s="9"/>
      <c r="B40" s="468" t="s">
        <v>37</v>
      </c>
      <c r="C40" s="284"/>
      <c r="D40" s="284"/>
      <c r="E40" s="358" t="s">
        <v>208</v>
      </c>
      <c r="F40" s="358"/>
      <c r="G40" s="358"/>
      <c r="H40" s="358"/>
      <c r="I40" s="358"/>
      <c r="J40" s="358"/>
      <c r="K40" s="358"/>
      <c r="L40" s="358"/>
      <c r="M40" s="358"/>
      <c r="N40" s="358"/>
      <c r="O40" s="358"/>
      <c r="P40" s="358"/>
      <c r="Q40" s="358"/>
      <c r="R40" s="358"/>
      <c r="S40" s="358"/>
      <c r="T40" s="358"/>
      <c r="U40" s="358"/>
      <c r="V40" s="358"/>
      <c r="W40" s="358"/>
      <c r="X40" s="358"/>
      <c r="Y40" s="358"/>
      <c r="Z40" s="358"/>
      <c r="AA40" s="358"/>
      <c r="AB40" s="358"/>
      <c r="AC40" s="358"/>
      <c r="AD40" s="59" t="str">
        <f>IF(AD39&gt;0,"X","")</f>
        <v/>
      </c>
      <c r="AE40" s="142">
        <f>IF(AF$36=0,"",AF40/AF$36)</f>
        <v>0</v>
      </c>
      <c r="AF40" s="230">
        <f>IF(AD40="",0,ROUND((1*(7*4.345))*((AF$36+AF$37)/220)/2,2))</f>
        <v>0</v>
      </c>
      <c r="AG40" s="60"/>
    </row>
    <row r="41" spans="1:37" ht="29.25" customHeight="1">
      <c r="B41" s="468" t="s">
        <v>39</v>
      </c>
      <c r="C41" s="284"/>
      <c r="D41" s="284"/>
      <c r="E41" s="358" t="s">
        <v>209</v>
      </c>
      <c r="F41" s="358"/>
      <c r="G41" s="358"/>
      <c r="H41" s="358"/>
      <c r="I41" s="358"/>
      <c r="J41" s="358"/>
      <c r="K41" s="358"/>
      <c r="L41" s="469" t="s">
        <v>452</v>
      </c>
      <c r="M41" s="469"/>
      <c r="N41" s="469"/>
      <c r="O41" s="469"/>
      <c r="P41" s="469"/>
      <c r="Q41" s="469"/>
      <c r="R41" s="469"/>
      <c r="S41" s="469"/>
      <c r="T41" s="469"/>
      <c r="U41" s="469"/>
      <c r="V41" s="469"/>
      <c r="W41" s="469"/>
      <c r="X41" s="469"/>
      <c r="Y41" s="469"/>
      <c r="Z41" s="469"/>
      <c r="AA41" s="469"/>
      <c r="AB41" s="469"/>
      <c r="AC41" s="469"/>
      <c r="AD41" s="469"/>
      <c r="AE41" s="131">
        <v>0</v>
      </c>
      <c r="AF41" s="230">
        <f>ROUND(AF$36*AE41,2)</f>
        <v>0</v>
      </c>
      <c r="AG41" s="54" t="s">
        <v>370</v>
      </c>
    </row>
    <row r="42" spans="1:37" ht="18.75" customHeight="1" thickBot="1">
      <c r="B42" s="221" t="s">
        <v>45</v>
      </c>
      <c r="C42" s="222"/>
      <c r="D42" s="222"/>
      <c r="E42" s="222"/>
      <c r="F42" s="222"/>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2"/>
      <c r="AE42" s="254"/>
      <c r="AF42" s="224">
        <f>SUM(AF36:AF41)</f>
        <v>3413.8</v>
      </c>
      <c r="AG42" s="139"/>
      <c r="AH42" s="144"/>
      <c r="AI42" s="144"/>
      <c r="AJ42" s="144"/>
      <c r="AK42" s="144"/>
    </row>
    <row r="43" spans="1:37" ht="17.25" customHeight="1" thickBot="1"/>
    <row r="44" spans="1:37" ht="24" customHeight="1" thickBot="1">
      <c r="B44" s="518" t="s">
        <v>210</v>
      </c>
      <c r="C44" s="519"/>
      <c r="D44" s="519"/>
      <c r="E44" s="519"/>
      <c r="F44" s="519"/>
      <c r="G44" s="519"/>
      <c r="H44" s="519"/>
      <c r="I44" s="519"/>
      <c r="J44" s="519"/>
      <c r="K44" s="519"/>
      <c r="L44" s="519"/>
      <c r="M44" s="519"/>
      <c r="N44" s="519"/>
      <c r="O44" s="519"/>
      <c r="P44" s="519"/>
      <c r="Q44" s="519"/>
      <c r="R44" s="519"/>
      <c r="S44" s="519"/>
      <c r="T44" s="519"/>
      <c r="U44" s="519"/>
      <c r="V44" s="519"/>
      <c r="W44" s="519"/>
      <c r="X44" s="519"/>
      <c r="Y44" s="519"/>
      <c r="Z44" s="519"/>
      <c r="AA44" s="519"/>
      <c r="AB44" s="519"/>
      <c r="AC44" s="519"/>
      <c r="AD44" s="519"/>
      <c r="AE44" s="519"/>
      <c r="AF44" s="520"/>
    </row>
    <row r="45" spans="1:37" ht="11.25" customHeight="1" thickBot="1"/>
    <row r="46" spans="1:37" ht="25.5">
      <c r="A46" s="9"/>
      <c r="B46" s="227" t="s">
        <v>211</v>
      </c>
      <c r="C46" s="228"/>
      <c r="D46" s="228"/>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8"/>
      <c r="AE46" s="470" t="s">
        <v>203</v>
      </c>
      <c r="AF46" s="471"/>
    </row>
    <row r="47" spans="1:37" ht="17.25" customHeight="1">
      <c r="A47" s="9"/>
      <c r="B47" s="476" t="s">
        <v>212</v>
      </c>
      <c r="C47" s="477"/>
      <c r="D47" s="477"/>
      <c r="E47" s="478" t="s">
        <v>213</v>
      </c>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82" t="s">
        <v>31</v>
      </c>
      <c r="AF47" s="229" t="s">
        <v>24</v>
      </c>
    </row>
    <row r="48" spans="1:37" ht="17.25" customHeight="1">
      <c r="B48" s="479" t="s">
        <v>7</v>
      </c>
      <c r="C48" s="480"/>
      <c r="D48" s="480"/>
      <c r="E48" s="481" t="s">
        <v>214</v>
      </c>
      <c r="F48" s="481"/>
      <c r="G48" s="481"/>
      <c r="H48" s="481"/>
      <c r="I48" s="481"/>
      <c r="J48" s="481"/>
      <c r="K48" s="481"/>
      <c r="L48" s="481"/>
      <c r="M48" s="481"/>
      <c r="N48" s="481"/>
      <c r="O48" s="481"/>
      <c r="P48" s="481"/>
      <c r="Q48" s="481"/>
      <c r="R48" s="481"/>
      <c r="S48" s="481"/>
      <c r="T48" s="481"/>
      <c r="U48" s="481"/>
      <c r="V48" s="481"/>
      <c r="W48" s="481"/>
      <c r="X48" s="481"/>
      <c r="Y48" s="481"/>
      <c r="Z48" s="481"/>
      <c r="AA48" s="481"/>
      <c r="AB48" s="481"/>
      <c r="AC48" s="481"/>
      <c r="AD48" s="481"/>
      <c r="AE48" s="142">
        <f>1/12</f>
        <v>8.3333333333333329E-2</v>
      </c>
      <c r="AF48" s="234">
        <f>ROUND(AE48*AF$42,2)</f>
        <v>284.48</v>
      </c>
    </row>
    <row r="49" spans="2:37" ht="17.25" customHeight="1">
      <c r="B49" s="479" t="s">
        <v>9</v>
      </c>
      <c r="C49" s="480"/>
      <c r="D49" s="480"/>
      <c r="E49" s="482" t="s">
        <v>215</v>
      </c>
      <c r="F49" s="482"/>
      <c r="G49" s="482"/>
      <c r="H49" s="482"/>
      <c r="I49" s="482"/>
      <c r="J49" s="482"/>
      <c r="K49" s="482"/>
      <c r="L49" s="482"/>
      <c r="M49" s="482"/>
      <c r="N49" s="482"/>
      <c r="O49" s="482"/>
      <c r="P49" s="482"/>
      <c r="Q49" s="482"/>
      <c r="R49" s="482"/>
      <c r="S49" s="482"/>
      <c r="T49" s="482"/>
      <c r="U49" s="482"/>
      <c r="V49" s="482"/>
      <c r="W49" s="482"/>
      <c r="X49" s="482"/>
      <c r="Y49" s="482"/>
      <c r="Z49" s="482"/>
      <c r="AA49" s="482"/>
      <c r="AB49" s="482"/>
      <c r="AC49" s="482"/>
      <c r="AD49" s="482"/>
      <c r="AE49" s="142">
        <v>0.121</v>
      </c>
      <c r="AF49" s="234">
        <f>ROUND(AE49*AF$42,2)</f>
        <v>413.07</v>
      </c>
    </row>
    <row r="50" spans="2:37" ht="17.25" customHeight="1" thickBot="1">
      <c r="B50" s="483" t="s">
        <v>81</v>
      </c>
      <c r="C50" s="484"/>
      <c r="D50" s="484"/>
      <c r="E50" s="484"/>
      <c r="F50" s="484"/>
      <c r="G50" s="484"/>
      <c r="H50" s="484"/>
      <c r="I50" s="484"/>
      <c r="J50" s="484"/>
      <c r="K50" s="484"/>
      <c r="L50" s="484"/>
      <c r="M50" s="484"/>
      <c r="N50" s="484"/>
      <c r="O50" s="484"/>
      <c r="P50" s="484"/>
      <c r="Q50" s="484"/>
      <c r="R50" s="484"/>
      <c r="S50" s="484"/>
      <c r="T50" s="484"/>
      <c r="U50" s="484"/>
      <c r="V50" s="484"/>
      <c r="W50" s="484"/>
      <c r="X50" s="484"/>
      <c r="Y50" s="484"/>
      <c r="Z50" s="484"/>
      <c r="AA50" s="484"/>
      <c r="AB50" s="484"/>
      <c r="AC50" s="484"/>
      <c r="AD50" s="484"/>
      <c r="AE50" s="250">
        <f>SUM(AE48:AE49)</f>
        <v>0.20433333333333331</v>
      </c>
      <c r="AF50" s="245">
        <f>SUM(AF48:AF49)</f>
        <v>697.55</v>
      </c>
    </row>
    <row r="51" spans="2:37" ht="15" customHeight="1" thickBot="1"/>
    <row r="52" spans="2:37" ht="26.25" thickBot="1">
      <c r="B52" s="227" t="s">
        <v>216</v>
      </c>
      <c r="C52" s="228"/>
      <c r="D52" s="228"/>
      <c r="E52" s="228"/>
      <c r="F52" s="228"/>
      <c r="G52" s="228"/>
      <c r="H52" s="228"/>
      <c r="I52" s="228"/>
      <c r="J52" s="228"/>
      <c r="K52" s="228"/>
      <c r="L52" s="228"/>
      <c r="M52" s="228"/>
      <c r="N52" s="228"/>
      <c r="O52" s="228"/>
      <c r="P52" s="228"/>
      <c r="Q52" s="228"/>
      <c r="R52" s="228"/>
      <c r="S52" s="228"/>
      <c r="T52" s="228"/>
      <c r="U52" s="228"/>
      <c r="V52" s="228"/>
      <c r="W52" s="228"/>
      <c r="X52" s="228"/>
      <c r="Y52" s="228"/>
      <c r="Z52" s="228"/>
      <c r="AA52" s="228"/>
      <c r="AB52" s="228"/>
      <c r="AC52" s="228"/>
      <c r="AD52" s="228"/>
      <c r="AE52" s="237" t="s">
        <v>217</v>
      </c>
      <c r="AF52" s="105">
        <f>AF42+AF50</f>
        <v>4111.3500000000004</v>
      </c>
    </row>
    <row r="53" spans="2:37" ht="17.25" customHeight="1">
      <c r="B53" s="476" t="s">
        <v>218</v>
      </c>
      <c r="C53" s="477"/>
      <c r="D53" s="477"/>
      <c r="E53" s="478" t="s">
        <v>219</v>
      </c>
      <c r="F53" s="478"/>
      <c r="G53" s="478"/>
      <c r="H53" s="478"/>
      <c r="I53" s="478"/>
      <c r="J53" s="478"/>
      <c r="K53" s="478"/>
      <c r="L53" s="478"/>
      <c r="M53" s="478"/>
      <c r="N53" s="478"/>
      <c r="O53" s="478"/>
      <c r="P53" s="478"/>
      <c r="Q53" s="478"/>
      <c r="R53" s="478"/>
      <c r="S53" s="478"/>
      <c r="T53" s="478"/>
      <c r="U53" s="478"/>
      <c r="V53" s="478"/>
      <c r="W53" s="478"/>
      <c r="X53" s="478"/>
      <c r="Y53" s="478"/>
      <c r="Z53" s="478"/>
      <c r="AA53" s="478"/>
      <c r="AB53" s="478"/>
      <c r="AC53" s="478"/>
      <c r="AD53" s="478"/>
      <c r="AE53" s="83" t="s">
        <v>31</v>
      </c>
      <c r="AF53" s="249" t="s">
        <v>24</v>
      </c>
    </row>
    <row r="54" spans="2:37" ht="17.25" customHeight="1">
      <c r="B54" s="479" t="s">
        <v>7</v>
      </c>
      <c r="C54" s="480"/>
      <c r="D54" s="480"/>
      <c r="E54" s="485" t="s">
        <v>67</v>
      </c>
      <c r="F54" s="485"/>
      <c r="G54" s="486" t="s">
        <v>220</v>
      </c>
      <c r="H54" s="486"/>
      <c r="I54" s="486"/>
      <c r="J54" s="486"/>
      <c r="K54" s="486"/>
      <c r="L54" s="486"/>
      <c r="M54" s="486"/>
      <c r="N54" s="486"/>
      <c r="O54" s="486"/>
      <c r="P54" s="486"/>
      <c r="Q54" s="486"/>
      <c r="R54" s="486"/>
      <c r="S54" s="486"/>
      <c r="T54" s="486"/>
      <c r="U54" s="486"/>
      <c r="V54" s="486"/>
      <c r="W54" s="486"/>
      <c r="X54" s="486"/>
      <c r="Y54" s="486"/>
      <c r="Z54" s="486"/>
      <c r="AA54" s="486"/>
      <c r="AB54" s="486"/>
      <c r="AC54" s="486"/>
      <c r="AD54" s="127"/>
      <c r="AE54" s="131">
        <f>IF(AD54="",0.2,0)</f>
        <v>0.2</v>
      </c>
      <c r="AF54" s="234">
        <f>ROUND(AE54*AF$52,2)</f>
        <v>822.27</v>
      </c>
      <c r="AG54" s="429" t="s">
        <v>372</v>
      </c>
      <c r="AH54" s="430"/>
      <c r="AI54" s="430"/>
      <c r="AJ54" s="430"/>
      <c r="AK54" s="430"/>
    </row>
    <row r="55" spans="2:37" ht="17.25" customHeight="1">
      <c r="B55" s="479" t="s">
        <v>9</v>
      </c>
      <c r="C55" s="480"/>
      <c r="D55" s="480"/>
      <c r="E55" s="481" t="s">
        <v>71</v>
      </c>
      <c r="F55" s="481"/>
      <c r="G55" s="481"/>
      <c r="H55" s="481"/>
      <c r="I55" s="481"/>
      <c r="J55" s="481"/>
      <c r="K55" s="481"/>
      <c r="L55" s="481"/>
      <c r="M55" s="481"/>
      <c r="N55" s="481"/>
      <c r="O55" s="481"/>
      <c r="P55" s="481"/>
      <c r="Q55" s="481"/>
      <c r="R55" s="481"/>
      <c r="S55" s="481"/>
      <c r="T55" s="481"/>
      <c r="U55" s="481"/>
      <c r="V55" s="481"/>
      <c r="W55" s="481"/>
      <c r="X55" s="481"/>
      <c r="Y55" s="481"/>
      <c r="Z55" s="481"/>
      <c r="AA55" s="481"/>
      <c r="AB55" s="481"/>
      <c r="AC55" s="481"/>
      <c r="AD55" s="481"/>
      <c r="AE55" s="131">
        <v>2.5000000000000001E-2</v>
      </c>
      <c r="AF55" s="234">
        <f t="shared" ref="AF55:AF62" si="0">ROUND(AE55*AF$52,2)</f>
        <v>102.78</v>
      </c>
      <c r="AG55" s="431"/>
      <c r="AH55" s="430"/>
      <c r="AI55" s="430"/>
      <c r="AJ55" s="430"/>
      <c r="AK55" s="430"/>
    </row>
    <row r="56" spans="2:37" ht="17.25" customHeight="1">
      <c r="B56" s="479" t="s">
        <v>11</v>
      </c>
      <c r="C56" s="480"/>
      <c r="D56" s="480"/>
      <c r="E56" s="487" t="s">
        <v>221</v>
      </c>
      <c r="F56" s="487"/>
      <c r="G56" s="487"/>
      <c r="H56" s="487"/>
      <c r="I56" s="487"/>
      <c r="J56" s="487"/>
      <c r="K56" s="487"/>
      <c r="L56" s="487"/>
      <c r="M56" s="487"/>
      <c r="N56" s="487"/>
      <c r="O56" s="487"/>
      <c r="P56" s="487"/>
      <c r="Q56" s="487"/>
      <c r="R56" s="487"/>
      <c r="S56" s="487"/>
      <c r="T56" s="487"/>
      <c r="U56" s="487"/>
      <c r="V56" s="487"/>
      <c r="W56" s="487"/>
      <c r="X56" s="487"/>
      <c r="Y56" s="487"/>
      <c r="Z56" s="487"/>
      <c r="AA56" s="487"/>
      <c r="AB56" s="487"/>
      <c r="AC56" s="487"/>
      <c r="AD56" s="487"/>
      <c r="AE56" s="131">
        <v>0.03</v>
      </c>
      <c r="AF56" s="234">
        <f t="shared" si="0"/>
        <v>123.34</v>
      </c>
      <c r="AG56" s="431"/>
      <c r="AH56" s="430"/>
      <c r="AI56" s="430"/>
      <c r="AJ56" s="430"/>
      <c r="AK56" s="430"/>
    </row>
    <row r="57" spans="2:37" ht="17.25" customHeight="1">
      <c r="B57" s="479" t="s">
        <v>13</v>
      </c>
      <c r="C57" s="480"/>
      <c r="D57" s="480"/>
      <c r="E57" s="481" t="s">
        <v>222</v>
      </c>
      <c r="F57" s="481"/>
      <c r="G57" s="481"/>
      <c r="H57" s="481"/>
      <c r="I57" s="481"/>
      <c r="J57" s="481"/>
      <c r="K57" s="481"/>
      <c r="L57" s="481"/>
      <c r="M57" s="481"/>
      <c r="N57" s="481"/>
      <c r="O57" s="481"/>
      <c r="P57" s="481"/>
      <c r="Q57" s="481"/>
      <c r="R57" s="481"/>
      <c r="S57" s="481"/>
      <c r="T57" s="481"/>
      <c r="U57" s="481"/>
      <c r="V57" s="481"/>
      <c r="W57" s="481"/>
      <c r="X57" s="481"/>
      <c r="Y57" s="481"/>
      <c r="Z57" s="481"/>
      <c r="AA57" s="481"/>
      <c r="AB57" s="481"/>
      <c r="AC57" s="481"/>
      <c r="AD57" s="481"/>
      <c r="AE57" s="131">
        <v>1.4999999999999999E-2</v>
      </c>
      <c r="AF57" s="234">
        <f t="shared" si="0"/>
        <v>61.67</v>
      </c>
      <c r="AG57" s="431"/>
      <c r="AH57" s="430"/>
      <c r="AI57" s="430"/>
      <c r="AJ57" s="430"/>
      <c r="AK57" s="430"/>
    </row>
    <row r="58" spans="2:37" ht="17.25" customHeight="1">
      <c r="B58" s="479" t="s">
        <v>37</v>
      </c>
      <c r="C58" s="480"/>
      <c r="D58" s="480"/>
      <c r="E58" s="481" t="s">
        <v>223</v>
      </c>
      <c r="F58" s="481"/>
      <c r="G58" s="481"/>
      <c r="H58" s="481"/>
      <c r="I58" s="481"/>
      <c r="J58" s="481"/>
      <c r="K58" s="481"/>
      <c r="L58" s="481"/>
      <c r="M58" s="481"/>
      <c r="N58" s="481"/>
      <c r="O58" s="481"/>
      <c r="P58" s="481"/>
      <c r="Q58" s="481"/>
      <c r="R58" s="481"/>
      <c r="S58" s="481"/>
      <c r="T58" s="481"/>
      <c r="U58" s="481"/>
      <c r="V58" s="481"/>
      <c r="W58" s="481"/>
      <c r="X58" s="481"/>
      <c r="Y58" s="481"/>
      <c r="Z58" s="481"/>
      <c r="AA58" s="481"/>
      <c r="AB58" s="481"/>
      <c r="AC58" s="481"/>
      <c r="AD58" s="481"/>
      <c r="AE58" s="131">
        <v>0.01</v>
      </c>
      <c r="AF58" s="234">
        <f t="shared" si="0"/>
        <v>41.11</v>
      </c>
      <c r="AG58" s="431"/>
      <c r="AH58" s="430"/>
      <c r="AI58" s="430"/>
      <c r="AJ58" s="430"/>
      <c r="AK58" s="430"/>
    </row>
    <row r="59" spans="2:37" ht="17.25" customHeight="1">
      <c r="B59" s="479" t="s">
        <v>39</v>
      </c>
      <c r="C59" s="480"/>
      <c r="D59" s="480"/>
      <c r="E59" s="481" t="s">
        <v>74</v>
      </c>
      <c r="F59" s="481"/>
      <c r="G59" s="481"/>
      <c r="H59" s="481"/>
      <c r="I59" s="481"/>
      <c r="J59" s="481"/>
      <c r="K59" s="481"/>
      <c r="L59" s="481"/>
      <c r="M59" s="481"/>
      <c r="N59" s="481"/>
      <c r="O59" s="481"/>
      <c r="P59" s="481"/>
      <c r="Q59" s="481"/>
      <c r="R59" s="481"/>
      <c r="S59" s="481"/>
      <c r="T59" s="481"/>
      <c r="U59" s="481"/>
      <c r="V59" s="481"/>
      <c r="W59" s="481"/>
      <c r="X59" s="481"/>
      <c r="Y59" s="481"/>
      <c r="Z59" s="481"/>
      <c r="AA59" s="481"/>
      <c r="AB59" s="481"/>
      <c r="AC59" s="481"/>
      <c r="AD59" s="481"/>
      <c r="AE59" s="131">
        <v>6.0000000000000001E-3</v>
      </c>
      <c r="AF59" s="234">
        <f t="shared" si="0"/>
        <v>24.67</v>
      </c>
      <c r="AG59" s="431"/>
      <c r="AH59" s="430"/>
      <c r="AI59" s="430"/>
      <c r="AJ59" s="430"/>
      <c r="AK59" s="430"/>
    </row>
    <row r="60" spans="2:37" ht="17.25" customHeight="1">
      <c r="B60" s="479" t="s">
        <v>41</v>
      </c>
      <c r="C60" s="480"/>
      <c r="D60" s="480"/>
      <c r="E60" s="481" t="s">
        <v>70</v>
      </c>
      <c r="F60" s="481"/>
      <c r="G60" s="481"/>
      <c r="H60" s="481"/>
      <c r="I60" s="481"/>
      <c r="J60" s="481"/>
      <c r="K60" s="481"/>
      <c r="L60" s="481"/>
      <c r="M60" s="481"/>
      <c r="N60" s="481"/>
      <c r="O60" s="481"/>
      <c r="P60" s="481"/>
      <c r="Q60" s="481"/>
      <c r="R60" s="481"/>
      <c r="S60" s="481"/>
      <c r="T60" s="481"/>
      <c r="U60" s="481"/>
      <c r="V60" s="481"/>
      <c r="W60" s="481"/>
      <c r="X60" s="481"/>
      <c r="Y60" s="481"/>
      <c r="Z60" s="481"/>
      <c r="AA60" s="481"/>
      <c r="AB60" s="481"/>
      <c r="AC60" s="481"/>
      <c r="AD60" s="481"/>
      <c r="AE60" s="131">
        <v>2E-3</v>
      </c>
      <c r="AF60" s="234">
        <f t="shared" si="0"/>
        <v>8.2200000000000006</v>
      </c>
      <c r="AG60" s="431"/>
      <c r="AH60" s="430"/>
      <c r="AI60" s="430"/>
      <c r="AJ60" s="430"/>
      <c r="AK60" s="430"/>
    </row>
    <row r="61" spans="2:37" ht="17.25" customHeight="1">
      <c r="B61" s="479" t="s">
        <v>43</v>
      </c>
      <c r="C61" s="480"/>
      <c r="D61" s="480"/>
      <c r="E61" s="481" t="s">
        <v>72</v>
      </c>
      <c r="F61" s="481"/>
      <c r="G61" s="481"/>
      <c r="H61" s="481"/>
      <c r="I61" s="481"/>
      <c r="J61" s="481"/>
      <c r="K61" s="481"/>
      <c r="L61" s="481"/>
      <c r="M61" s="481"/>
      <c r="N61" s="481"/>
      <c r="O61" s="481"/>
      <c r="P61" s="481"/>
      <c r="Q61" s="481"/>
      <c r="R61" s="481"/>
      <c r="S61" s="481"/>
      <c r="T61" s="481"/>
      <c r="U61" s="481"/>
      <c r="V61" s="481"/>
      <c r="W61" s="481"/>
      <c r="X61" s="481"/>
      <c r="Y61" s="481"/>
      <c r="Z61" s="481"/>
      <c r="AA61" s="481"/>
      <c r="AB61" s="481"/>
      <c r="AC61" s="481"/>
      <c r="AD61" s="481"/>
      <c r="AE61" s="131">
        <v>0.08</v>
      </c>
      <c r="AF61" s="234">
        <f t="shared" si="0"/>
        <v>328.91</v>
      </c>
      <c r="AG61" s="431"/>
      <c r="AH61" s="430"/>
      <c r="AI61" s="430"/>
      <c r="AJ61" s="430"/>
      <c r="AK61" s="430"/>
    </row>
    <row r="62" spans="2:37" ht="17.25" customHeight="1">
      <c r="B62" s="479" t="s">
        <v>324</v>
      </c>
      <c r="C62" s="480"/>
      <c r="D62" s="480"/>
      <c r="E62" s="358" t="s">
        <v>209</v>
      </c>
      <c r="F62" s="359"/>
      <c r="G62" s="359"/>
      <c r="H62" s="359"/>
      <c r="I62" s="359"/>
      <c r="J62" s="359"/>
      <c r="K62" s="359"/>
      <c r="L62" s="490"/>
      <c r="M62" s="490"/>
      <c r="N62" s="490"/>
      <c r="O62" s="490"/>
      <c r="P62" s="490"/>
      <c r="Q62" s="490"/>
      <c r="R62" s="490"/>
      <c r="S62" s="490"/>
      <c r="T62" s="490"/>
      <c r="U62" s="490"/>
      <c r="V62" s="490"/>
      <c r="W62" s="490"/>
      <c r="X62" s="490"/>
      <c r="Y62" s="490"/>
      <c r="Z62" s="490"/>
      <c r="AA62" s="490"/>
      <c r="AB62" s="490"/>
      <c r="AC62" s="490"/>
      <c r="AD62" s="469"/>
      <c r="AE62" s="131"/>
      <c r="AF62" s="234">
        <f t="shared" si="0"/>
        <v>0</v>
      </c>
      <c r="AG62" s="431"/>
      <c r="AH62" s="430"/>
      <c r="AI62" s="430"/>
      <c r="AJ62" s="430"/>
      <c r="AK62" s="430"/>
    </row>
    <row r="63" spans="2:37" ht="17.25" customHeight="1" thickBot="1">
      <c r="B63" s="488" t="s">
        <v>75</v>
      </c>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250">
        <f>SUM(AE54:AE62)</f>
        <v>0.36800000000000005</v>
      </c>
      <c r="AF63" s="251">
        <f>SUM(AF54:AF62)</f>
        <v>1512.97</v>
      </c>
    </row>
    <row r="64" spans="2:37" ht="15" customHeight="1" thickBot="1"/>
    <row r="65" spans="1:57" ht="18" customHeight="1">
      <c r="B65" s="227" t="s">
        <v>224</v>
      </c>
      <c r="C65" s="228"/>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470" t="s">
        <v>203</v>
      </c>
      <c r="AF65" s="471"/>
    </row>
    <row r="66" spans="1:57" ht="18" customHeight="1">
      <c r="B66" s="476" t="s">
        <v>225</v>
      </c>
      <c r="C66" s="477"/>
      <c r="D66" s="477"/>
      <c r="E66" s="478" t="s">
        <v>47</v>
      </c>
      <c r="F66" s="478"/>
      <c r="G66" s="478"/>
      <c r="H66" s="478"/>
      <c r="I66" s="478"/>
      <c r="J66" s="478"/>
      <c r="K66" s="478"/>
      <c r="L66" s="478"/>
      <c r="M66" s="478"/>
      <c r="N66" s="478"/>
      <c r="O66" s="478"/>
      <c r="P66" s="478"/>
      <c r="Q66" s="478"/>
      <c r="R66" s="478"/>
      <c r="S66" s="478"/>
      <c r="T66" s="478"/>
      <c r="U66" s="478"/>
      <c r="V66" s="478"/>
      <c r="W66" s="478"/>
      <c r="X66" s="478"/>
      <c r="Y66" s="478"/>
      <c r="Z66" s="478"/>
      <c r="AA66" s="478"/>
      <c r="AB66" s="478"/>
      <c r="AC66" s="478"/>
      <c r="AD66" s="478"/>
      <c r="AE66" s="82" t="s">
        <v>33</v>
      </c>
      <c r="AF66" s="229" t="s">
        <v>24</v>
      </c>
    </row>
    <row r="67" spans="1:57" ht="18" customHeight="1">
      <c r="B67" s="468" t="s">
        <v>7</v>
      </c>
      <c r="C67" s="284"/>
      <c r="D67" s="284"/>
      <c r="E67" s="358" t="s">
        <v>326</v>
      </c>
      <c r="F67" s="358"/>
      <c r="G67" s="358"/>
      <c r="H67" s="358"/>
      <c r="I67" s="358"/>
      <c r="J67" s="358"/>
      <c r="K67" s="358"/>
      <c r="L67" s="358"/>
      <c r="M67" s="358"/>
      <c r="N67" s="358"/>
      <c r="O67" s="358"/>
      <c r="P67" s="358"/>
      <c r="Q67" s="358"/>
      <c r="R67" s="358"/>
      <c r="S67" s="358"/>
      <c r="T67" s="358"/>
      <c r="U67" s="358"/>
      <c r="V67" s="358"/>
      <c r="W67" s="358"/>
      <c r="X67" s="358"/>
      <c r="Y67" s="358"/>
      <c r="Z67" s="358"/>
      <c r="AA67" s="358"/>
      <c r="AB67" s="358"/>
      <c r="AC67" s="358"/>
      <c r="AD67" s="61" t="s">
        <v>226</v>
      </c>
      <c r="AE67" s="129"/>
      <c r="AF67" s="491">
        <f>ROUND(IF((IF(AE67="",0,(((AE67*AE68)-(0.06*AF36)))))&lt;0,0,IF(AE67="",0,(((AE67*AE68)-(0.06*AF36))))),2)</f>
        <v>0</v>
      </c>
      <c r="AG67" s="428" t="s">
        <v>373</v>
      </c>
      <c r="AH67" s="428"/>
      <c r="AI67" s="428"/>
      <c r="AJ67" s="428"/>
      <c r="AK67" s="139"/>
      <c r="AL67" s="139"/>
      <c r="AM67" s="139"/>
      <c r="AN67" s="139"/>
      <c r="AO67" s="139"/>
      <c r="AP67" s="139"/>
      <c r="AQ67" s="139"/>
      <c r="AR67" s="139"/>
      <c r="AS67" s="139"/>
      <c r="AT67" s="139"/>
      <c r="AU67" s="139"/>
      <c r="AV67" s="139"/>
      <c r="AW67" s="139"/>
      <c r="AX67" s="139"/>
      <c r="AY67" s="139"/>
      <c r="AZ67" s="139"/>
      <c r="BA67" s="139"/>
      <c r="BB67" s="139"/>
      <c r="BC67" s="139"/>
      <c r="BD67" s="139"/>
      <c r="BE67" s="139"/>
    </row>
    <row r="68" spans="1:57" ht="18" customHeight="1">
      <c r="B68" s="468"/>
      <c r="C68" s="284"/>
      <c r="D68" s="284"/>
      <c r="E68" s="358"/>
      <c r="F68" s="358"/>
      <c r="G68" s="358"/>
      <c r="H68" s="358"/>
      <c r="I68" s="358"/>
      <c r="J68" s="358"/>
      <c r="K68" s="358"/>
      <c r="L68" s="358"/>
      <c r="M68" s="358"/>
      <c r="N68" s="358"/>
      <c r="O68" s="358"/>
      <c r="P68" s="358"/>
      <c r="Q68" s="358"/>
      <c r="R68" s="358"/>
      <c r="S68" s="358"/>
      <c r="T68" s="358"/>
      <c r="U68" s="358"/>
      <c r="V68" s="358"/>
      <c r="W68" s="358"/>
      <c r="X68" s="358"/>
      <c r="Y68" s="358"/>
      <c r="Z68" s="358"/>
      <c r="AA68" s="358"/>
      <c r="AB68" s="358"/>
      <c r="AC68" s="358"/>
      <c r="AD68" s="61" t="s">
        <v>227</v>
      </c>
      <c r="AE68" s="130"/>
      <c r="AF68" s="491"/>
      <c r="AG68" s="428"/>
      <c r="AH68" s="428"/>
      <c r="AI68" s="428"/>
      <c r="AJ68" s="428"/>
      <c r="AK68" s="139"/>
      <c r="AL68" s="139"/>
      <c r="AM68" s="139"/>
      <c r="AN68" s="139"/>
      <c r="AO68" s="139"/>
      <c r="AP68" s="139"/>
      <c r="AQ68" s="139"/>
      <c r="AR68" s="139"/>
      <c r="AS68" s="139"/>
      <c r="AT68" s="139"/>
      <c r="AU68" s="139"/>
      <c r="AV68" s="139"/>
      <c r="AW68" s="139"/>
      <c r="AX68" s="139"/>
      <c r="AY68" s="139"/>
      <c r="AZ68" s="139"/>
      <c r="BA68" s="139"/>
      <c r="BB68" s="139"/>
      <c r="BC68" s="139"/>
      <c r="BD68" s="139"/>
      <c r="BE68" s="139"/>
    </row>
    <row r="69" spans="1:57" ht="18" customHeight="1">
      <c r="B69" s="468" t="s">
        <v>9</v>
      </c>
      <c r="C69" s="284"/>
      <c r="D69" s="284"/>
      <c r="E69" s="358" t="s">
        <v>228</v>
      </c>
      <c r="F69" s="358"/>
      <c r="G69" s="358"/>
      <c r="H69" s="358"/>
      <c r="I69" s="358"/>
      <c r="J69" s="358"/>
      <c r="K69" s="358"/>
      <c r="L69" s="358"/>
      <c r="M69" s="358"/>
      <c r="N69" s="358"/>
      <c r="O69" s="358"/>
      <c r="P69" s="358"/>
      <c r="Q69" s="358"/>
      <c r="R69" s="358"/>
      <c r="S69" s="358"/>
      <c r="T69" s="358"/>
      <c r="U69" s="358"/>
      <c r="V69" s="358"/>
      <c r="W69" s="358"/>
      <c r="X69" s="358"/>
      <c r="Y69" s="358"/>
      <c r="Z69" s="358"/>
      <c r="AA69" s="358"/>
      <c r="AB69" s="358"/>
      <c r="AC69" s="358"/>
      <c r="AD69" s="61" t="s">
        <v>229</v>
      </c>
      <c r="AE69" s="130">
        <f>15*52.09</f>
        <v>781.35</v>
      </c>
      <c r="AF69" s="491">
        <f>ROUND(AE69-(AE69*AE70),2)</f>
        <v>625.08000000000004</v>
      </c>
      <c r="AG69" s="428"/>
      <c r="AH69" s="428"/>
      <c r="AI69" s="428"/>
      <c r="AJ69" s="428"/>
    </row>
    <row r="70" spans="1:57" ht="18" customHeight="1">
      <c r="B70" s="468"/>
      <c r="C70" s="284"/>
      <c r="D70" s="284"/>
      <c r="E70" s="358"/>
      <c r="F70" s="358"/>
      <c r="G70" s="358"/>
      <c r="H70" s="358"/>
      <c r="I70" s="358"/>
      <c r="J70" s="358"/>
      <c r="K70" s="358"/>
      <c r="L70" s="358"/>
      <c r="M70" s="358"/>
      <c r="N70" s="358"/>
      <c r="O70" s="358"/>
      <c r="P70" s="358"/>
      <c r="Q70" s="358"/>
      <c r="R70" s="358"/>
      <c r="S70" s="358"/>
      <c r="T70" s="358"/>
      <c r="U70" s="358"/>
      <c r="V70" s="358"/>
      <c r="W70" s="358"/>
      <c r="X70" s="358"/>
      <c r="Y70" s="358"/>
      <c r="Z70" s="358"/>
      <c r="AA70" s="358"/>
      <c r="AB70" s="358"/>
      <c r="AC70" s="358"/>
      <c r="AD70" s="61" t="s">
        <v>230</v>
      </c>
      <c r="AE70" s="131">
        <v>0.2</v>
      </c>
      <c r="AF70" s="491"/>
      <c r="AG70" s="428"/>
      <c r="AH70" s="428"/>
      <c r="AI70" s="428"/>
      <c r="AJ70" s="428"/>
    </row>
    <row r="71" spans="1:57" ht="18" customHeight="1">
      <c r="B71" s="468" t="s">
        <v>11</v>
      </c>
      <c r="C71" s="284"/>
      <c r="D71" s="284"/>
      <c r="E71" s="300" t="s">
        <v>231</v>
      </c>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141">
        <v>0.41920000000000002</v>
      </c>
      <c r="AF71" s="226">
        <v>90</v>
      </c>
      <c r="AG71" s="428"/>
      <c r="AH71" s="428"/>
      <c r="AI71" s="428"/>
      <c r="AJ71" s="428"/>
    </row>
    <row r="72" spans="1:57" ht="18" customHeight="1">
      <c r="B72" s="468" t="s">
        <v>13</v>
      </c>
      <c r="C72" s="284"/>
      <c r="D72" s="284"/>
      <c r="E72" s="300" t="s">
        <v>232</v>
      </c>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300"/>
      <c r="AE72" s="127" t="s">
        <v>198</v>
      </c>
      <c r="AF72" s="234">
        <f>IF(OR(AE21="",AE72=""),0,ROUND((AF42/220*1.5)*(7*4.345)/2,2))</f>
        <v>353.97</v>
      </c>
      <c r="AG72" s="428"/>
      <c r="AH72" s="428"/>
      <c r="AI72" s="428"/>
      <c r="AJ72" s="428"/>
      <c r="AK72" s="62"/>
    </row>
    <row r="73" spans="1:57" ht="18" customHeight="1">
      <c r="B73" s="468" t="s">
        <v>37</v>
      </c>
      <c r="C73" s="284"/>
      <c r="D73" s="284"/>
      <c r="E73" s="300" t="s">
        <v>52</v>
      </c>
      <c r="F73" s="300"/>
      <c r="G73" s="300"/>
      <c r="H73" s="300"/>
      <c r="I73" s="300"/>
      <c r="J73" s="300"/>
      <c r="K73" s="300"/>
      <c r="L73" s="300"/>
      <c r="M73" s="300"/>
      <c r="N73" s="300"/>
      <c r="O73" s="300"/>
      <c r="P73" s="300"/>
      <c r="Q73" s="300"/>
      <c r="R73" s="300"/>
      <c r="S73" s="300"/>
      <c r="T73" s="300"/>
      <c r="U73" s="300"/>
      <c r="V73" s="300"/>
      <c r="W73" s="300"/>
      <c r="X73" s="300"/>
      <c r="Y73" s="300"/>
      <c r="Z73" s="300"/>
      <c r="AA73" s="300"/>
      <c r="AB73" s="300"/>
      <c r="AC73" s="300"/>
      <c r="AD73" s="300"/>
      <c r="AE73" s="140"/>
      <c r="AF73" s="226">
        <v>0</v>
      </c>
      <c r="AG73" s="428"/>
      <c r="AH73" s="428"/>
      <c r="AI73" s="428"/>
      <c r="AJ73" s="428"/>
    </row>
    <row r="74" spans="1:57" ht="18" customHeight="1">
      <c r="B74" s="468" t="s">
        <v>43</v>
      </c>
      <c r="C74" s="284"/>
      <c r="D74" s="284"/>
      <c r="E74" s="358" t="s">
        <v>233</v>
      </c>
      <c r="F74" s="358"/>
      <c r="G74" s="358"/>
      <c r="H74" s="492" t="s">
        <v>327</v>
      </c>
      <c r="I74" s="492"/>
      <c r="J74" s="492"/>
      <c r="K74" s="492"/>
      <c r="L74" s="492"/>
      <c r="M74" s="492"/>
      <c r="N74" s="492"/>
      <c r="O74" s="492"/>
      <c r="P74" s="492"/>
      <c r="Q74" s="492"/>
      <c r="R74" s="492"/>
      <c r="S74" s="492"/>
      <c r="T74" s="492"/>
      <c r="U74" s="492"/>
      <c r="V74" s="492"/>
      <c r="W74" s="492"/>
      <c r="X74" s="492"/>
      <c r="Y74" s="492"/>
      <c r="Z74" s="492"/>
      <c r="AA74" s="492"/>
      <c r="AB74" s="492"/>
      <c r="AC74" s="492"/>
      <c r="AD74" s="492"/>
      <c r="AE74" s="140"/>
      <c r="AF74" s="226">
        <v>0</v>
      </c>
      <c r="AG74" s="428"/>
      <c r="AH74" s="428"/>
      <c r="AI74" s="428"/>
      <c r="AJ74" s="428"/>
    </row>
    <row r="75" spans="1:57" ht="18" customHeight="1" thickBot="1">
      <c r="A75" s="9"/>
      <c r="B75" s="221" t="s">
        <v>54</v>
      </c>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222"/>
      <c r="AB75" s="222"/>
      <c r="AC75" s="222"/>
      <c r="AD75" s="222"/>
      <c r="AE75" s="244"/>
      <c r="AF75" s="245">
        <f>SUM(AF67:AF73)</f>
        <v>1069.0500000000002</v>
      </c>
    </row>
    <row r="76" spans="1:57" ht="13.5" thickBot="1">
      <c r="AI76" s="10"/>
    </row>
    <row r="77" spans="1:57" ht="15.75" customHeight="1">
      <c r="B77" s="246" t="s">
        <v>234</v>
      </c>
      <c r="C77" s="247"/>
      <c r="D77" s="247"/>
      <c r="E77" s="247"/>
      <c r="F77" s="247"/>
      <c r="G77" s="247"/>
      <c r="H77" s="247"/>
      <c r="I77" s="247"/>
      <c r="J77" s="247"/>
      <c r="K77" s="247"/>
      <c r="L77" s="247"/>
      <c r="M77" s="247"/>
      <c r="N77" s="247"/>
      <c r="O77" s="247"/>
      <c r="P77" s="247"/>
      <c r="Q77" s="247"/>
      <c r="R77" s="247"/>
      <c r="S77" s="247"/>
      <c r="T77" s="247"/>
      <c r="U77" s="247"/>
      <c r="V77" s="247"/>
      <c r="W77" s="247"/>
      <c r="X77" s="247"/>
      <c r="Y77" s="247"/>
      <c r="Z77" s="247"/>
      <c r="AA77" s="247"/>
      <c r="AB77" s="247"/>
      <c r="AC77" s="247"/>
      <c r="AD77" s="247"/>
      <c r="AE77" s="470" t="s">
        <v>203</v>
      </c>
      <c r="AF77" s="471"/>
    </row>
    <row r="78" spans="1:57" ht="15.75" customHeight="1">
      <c r="B78" s="493">
        <v>2</v>
      </c>
      <c r="C78" s="494"/>
      <c r="D78" s="494"/>
      <c r="E78" s="495" t="s">
        <v>235</v>
      </c>
      <c r="F78" s="495"/>
      <c r="G78" s="495"/>
      <c r="H78" s="495"/>
      <c r="I78" s="495"/>
      <c r="J78" s="495"/>
      <c r="K78" s="495"/>
      <c r="L78" s="495"/>
      <c r="M78" s="495"/>
      <c r="N78" s="495"/>
      <c r="O78" s="495"/>
      <c r="P78" s="495"/>
      <c r="Q78" s="495"/>
      <c r="R78" s="495"/>
      <c r="S78" s="495"/>
      <c r="T78" s="495"/>
      <c r="U78" s="495"/>
      <c r="V78" s="495"/>
      <c r="W78" s="495"/>
      <c r="X78" s="495"/>
      <c r="Y78" s="495"/>
      <c r="Z78" s="495"/>
      <c r="AA78" s="495"/>
      <c r="AB78" s="495"/>
      <c r="AC78" s="495"/>
      <c r="AD78" s="495"/>
      <c r="AE78" s="100" t="s">
        <v>31</v>
      </c>
      <c r="AF78" s="248" t="s">
        <v>164</v>
      </c>
    </row>
    <row r="79" spans="1:57" ht="15.75" customHeight="1">
      <c r="B79" s="479" t="s">
        <v>212</v>
      </c>
      <c r="C79" s="480"/>
      <c r="D79" s="480"/>
      <c r="E79" s="481" t="str">
        <f>E47</f>
        <v>13º Salário, Férias e Adicional de Férias</v>
      </c>
      <c r="F79" s="481"/>
      <c r="G79" s="481"/>
      <c r="H79" s="481"/>
      <c r="I79" s="481"/>
      <c r="J79" s="481"/>
      <c r="K79" s="481"/>
      <c r="L79" s="481"/>
      <c r="M79" s="481"/>
      <c r="N79" s="481"/>
      <c r="O79" s="481"/>
      <c r="P79" s="481"/>
      <c r="Q79" s="481"/>
      <c r="R79" s="481"/>
      <c r="S79" s="481"/>
      <c r="T79" s="481"/>
      <c r="U79" s="481"/>
      <c r="V79" s="481"/>
      <c r="W79" s="481"/>
      <c r="X79" s="481"/>
      <c r="Y79" s="481"/>
      <c r="Z79" s="481"/>
      <c r="AA79" s="481"/>
      <c r="AB79" s="481"/>
      <c r="AC79" s="481"/>
      <c r="AD79" s="481"/>
      <c r="AE79" s="84">
        <f t="shared" ref="AE79:AE80" si="1">IF(AF$42=0,"",AF79/AF$42)</f>
        <v>0.2043324154900697</v>
      </c>
      <c r="AF79" s="234">
        <f>AF50</f>
        <v>697.55</v>
      </c>
    </row>
    <row r="80" spans="1:57" ht="15.75" customHeight="1">
      <c r="B80" s="479" t="s">
        <v>218</v>
      </c>
      <c r="C80" s="480"/>
      <c r="D80" s="480"/>
      <c r="E80" s="481" t="str">
        <f>E53</f>
        <v>GPS, FGTS e outras contribuições</v>
      </c>
      <c r="F80" s="481"/>
      <c r="G80" s="481"/>
      <c r="H80" s="481"/>
      <c r="I80" s="481"/>
      <c r="J80" s="481"/>
      <c r="K80" s="481"/>
      <c r="L80" s="481"/>
      <c r="M80" s="481"/>
      <c r="N80" s="481"/>
      <c r="O80" s="481"/>
      <c r="P80" s="481"/>
      <c r="Q80" s="481"/>
      <c r="R80" s="481"/>
      <c r="S80" s="481"/>
      <c r="T80" s="481"/>
      <c r="U80" s="481"/>
      <c r="V80" s="481"/>
      <c r="W80" s="481"/>
      <c r="X80" s="481"/>
      <c r="Y80" s="481"/>
      <c r="Z80" s="481"/>
      <c r="AA80" s="481"/>
      <c r="AB80" s="481"/>
      <c r="AC80" s="481"/>
      <c r="AD80" s="481"/>
      <c r="AE80" s="84">
        <f t="shared" si="1"/>
        <v>0.44319233698517779</v>
      </c>
      <c r="AF80" s="234">
        <f>AF63</f>
        <v>1512.97</v>
      </c>
    </row>
    <row r="81" spans="2:37" ht="15.75" customHeight="1">
      <c r="B81" s="479" t="s">
        <v>225</v>
      </c>
      <c r="C81" s="480"/>
      <c r="D81" s="480"/>
      <c r="E81" s="481" t="str">
        <f>E66</f>
        <v>Benefícios Mensais e Diários</v>
      </c>
      <c r="F81" s="481"/>
      <c r="G81" s="481"/>
      <c r="H81" s="481"/>
      <c r="I81" s="481"/>
      <c r="J81" s="481"/>
      <c r="K81" s="481"/>
      <c r="L81" s="481"/>
      <c r="M81" s="481"/>
      <c r="N81" s="481"/>
      <c r="O81" s="481"/>
      <c r="P81" s="481"/>
      <c r="Q81" s="481"/>
      <c r="R81" s="481"/>
      <c r="S81" s="481"/>
      <c r="T81" s="481"/>
      <c r="U81" s="481"/>
      <c r="V81" s="481"/>
      <c r="W81" s="481"/>
      <c r="X81" s="481"/>
      <c r="Y81" s="481"/>
      <c r="Z81" s="481"/>
      <c r="AA81" s="481"/>
      <c r="AB81" s="481"/>
      <c r="AC81" s="481"/>
      <c r="AD81" s="481"/>
      <c r="AE81" s="84">
        <f>IF(AF$42=0,"",AF81/AF$42)</f>
        <v>0.31315542796883244</v>
      </c>
      <c r="AF81" s="234">
        <f>AF75</f>
        <v>1069.0500000000002</v>
      </c>
    </row>
    <row r="82" spans="2:37" ht="15.75" customHeight="1" thickBot="1">
      <c r="B82" s="497" t="s">
        <v>75</v>
      </c>
      <c r="C82" s="498"/>
      <c r="D82" s="498"/>
      <c r="E82" s="498"/>
      <c r="F82" s="498"/>
      <c r="G82" s="498"/>
      <c r="H82" s="498"/>
      <c r="I82" s="498"/>
      <c r="J82" s="498"/>
      <c r="K82" s="498"/>
      <c r="L82" s="498"/>
      <c r="M82" s="498"/>
      <c r="N82" s="498"/>
      <c r="O82" s="498"/>
      <c r="P82" s="498"/>
      <c r="Q82" s="498"/>
      <c r="R82" s="498"/>
      <c r="S82" s="498"/>
      <c r="T82" s="498"/>
      <c r="U82" s="498"/>
      <c r="V82" s="498"/>
      <c r="W82" s="498"/>
      <c r="X82" s="498"/>
      <c r="Y82" s="498"/>
      <c r="Z82" s="498"/>
      <c r="AA82" s="498"/>
      <c r="AB82" s="498"/>
      <c r="AC82" s="498"/>
      <c r="AD82" s="498"/>
      <c r="AE82" s="235">
        <f>IF(AF$42=0,"",AF82/AF$42)</f>
        <v>0.96068018044407988</v>
      </c>
      <c r="AF82" s="236">
        <f>SUM(AF79:AF81)</f>
        <v>3279.57</v>
      </c>
    </row>
    <row r="83" spans="2:37" ht="13.5" thickBot="1"/>
    <row r="84" spans="2:37" ht="24" customHeight="1" thickBot="1">
      <c r="B84" s="518" t="s">
        <v>236</v>
      </c>
      <c r="C84" s="519"/>
      <c r="D84" s="519"/>
      <c r="E84" s="519"/>
      <c r="F84" s="519"/>
      <c r="G84" s="519"/>
      <c r="H84" s="519"/>
      <c r="I84" s="519"/>
      <c r="J84" s="519"/>
      <c r="K84" s="519"/>
      <c r="L84" s="519"/>
      <c r="M84" s="519"/>
      <c r="N84" s="519"/>
      <c r="O84" s="519"/>
      <c r="P84" s="519"/>
      <c r="Q84" s="519"/>
      <c r="R84" s="519"/>
      <c r="S84" s="519"/>
      <c r="T84" s="519"/>
      <c r="U84" s="519"/>
      <c r="V84" s="519"/>
      <c r="W84" s="519"/>
      <c r="X84" s="519"/>
      <c r="Y84" s="519"/>
      <c r="Z84" s="519"/>
      <c r="AA84" s="519"/>
      <c r="AB84" s="519"/>
      <c r="AC84" s="519"/>
      <c r="AD84" s="519"/>
      <c r="AE84" s="519"/>
      <c r="AF84" s="520"/>
    </row>
    <row r="85" spans="2:37" ht="13.5" thickBot="1"/>
    <row r="86" spans="2:37" ht="18.75" customHeight="1">
      <c r="B86" s="472">
        <v>3</v>
      </c>
      <c r="C86" s="473"/>
      <c r="D86" s="473"/>
      <c r="E86" s="240" t="s">
        <v>237</v>
      </c>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2" t="s">
        <v>31</v>
      </c>
      <c r="AF86" s="217" t="s">
        <v>24</v>
      </c>
    </row>
    <row r="87" spans="2:37" ht="20.25" customHeight="1">
      <c r="B87" s="479" t="s">
        <v>7</v>
      </c>
      <c r="C87" s="480"/>
      <c r="D87" s="480"/>
      <c r="E87" s="496" t="s">
        <v>238</v>
      </c>
      <c r="F87" s="496"/>
      <c r="G87" s="496"/>
      <c r="H87" s="496"/>
      <c r="I87" s="496"/>
      <c r="J87" s="496"/>
      <c r="K87" s="496"/>
      <c r="L87" s="496"/>
      <c r="M87" s="496"/>
      <c r="N87" s="496"/>
      <c r="O87" s="496"/>
      <c r="P87" s="496"/>
      <c r="Q87" s="496"/>
      <c r="R87" s="496"/>
      <c r="S87" s="496"/>
      <c r="T87" s="496"/>
      <c r="U87" s="496"/>
      <c r="V87" s="496"/>
      <c r="W87" s="496"/>
      <c r="X87" s="496"/>
      <c r="Y87" s="496"/>
      <c r="Z87" s="496"/>
      <c r="AA87" s="496"/>
      <c r="AB87" s="496"/>
      <c r="AC87" s="496"/>
      <c r="AD87" s="132">
        <v>0.05</v>
      </c>
      <c r="AE87" s="84">
        <f>(1/12*$AD87)</f>
        <v>4.1666666666666666E-3</v>
      </c>
      <c r="AF87" s="230">
        <f>ROUND(AE87*AF42,2)</f>
        <v>14.22</v>
      </c>
    </row>
    <row r="88" spans="2:37" ht="20.25" customHeight="1">
      <c r="B88" s="479" t="s">
        <v>9</v>
      </c>
      <c r="C88" s="480"/>
      <c r="D88" s="480"/>
      <c r="E88" s="487" t="s">
        <v>239</v>
      </c>
      <c r="F88" s="487"/>
      <c r="G88" s="487"/>
      <c r="H88" s="487"/>
      <c r="I88" s="487"/>
      <c r="J88" s="487"/>
      <c r="K88" s="487"/>
      <c r="L88" s="487"/>
      <c r="M88" s="487"/>
      <c r="N88" s="487"/>
      <c r="O88" s="487"/>
      <c r="P88" s="487"/>
      <c r="Q88" s="487"/>
      <c r="R88" s="487"/>
      <c r="S88" s="487"/>
      <c r="T88" s="487"/>
      <c r="U88" s="487"/>
      <c r="V88" s="487"/>
      <c r="W88" s="487"/>
      <c r="X88" s="487"/>
      <c r="Y88" s="487"/>
      <c r="Z88" s="487"/>
      <c r="AA88" s="487"/>
      <c r="AB88" s="487"/>
      <c r="AC88" s="487"/>
      <c r="AD88" s="487"/>
      <c r="AE88" s="84">
        <v>0.08</v>
      </c>
      <c r="AF88" s="230">
        <f>ROUND(AF87*AE88,2)</f>
        <v>1.1399999999999999</v>
      </c>
      <c r="AI88" s="62"/>
    </row>
    <row r="89" spans="2:37" ht="20.25" customHeight="1">
      <c r="B89" s="479" t="s">
        <v>11</v>
      </c>
      <c r="C89" s="480"/>
      <c r="D89" s="480"/>
      <c r="E89" s="487" t="s">
        <v>240</v>
      </c>
      <c r="F89" s="487"/>
      <c r="G89" s="487"/>
      <c r="H89" s="487"/>
      <c r="I89" s="487"/>
      <c r="J89" s="487"/>
      <c r="K89" s="487"/>
      <c r="L89" s="487"/>
      <c r="M89" s="487"/>
      <c r="N89" s="487"/>
      <c r="O89" s="487"/>
      <c r="P89" s="487"/>
      <c r="Q89" s="487"/>
      <c r="R89" s="487"/>
      <c r="S89" s="487"/>
      <c r="T89" s="487"/>
      <c r="U89" s="487"/>
      <c r="V89" s="487"/>
      <c r="W89" s="487"/>
      <c r="X89" s="487"/>
      <c r="Y89" s="487"/>
      <c r="Z89" s="487"/>
      <c r="AA89" s="487"/>
      <c r="AB89" s="487"/>
      <c r="AC89" s="487"/>
      <c r="AD89" s="487"/>
      <c r="AE89" s="84">
        <f>0.5*AD87*AE88</f>
        <v>2E-3</v>
      </c>
      <c r="AF89" s="243">
        <f>ROUND(AF$42*AE89,2)</f>
        <v>6.83</v>
      </c>
    </row>
    <row r="90" spans="2:37" ht="20.25" customHeight="1">
      <c r="B90" s="479" t="s">
        <v>13</v>
      </c>
      <c r="C90" s="480"/>
      <c r="D90" s="480"/>
      <c r="E90" s="496" t="s">
        <v>241</v>
      </c>
      <c r="F90" s="496"/>
      <c r="G90" s="496"/>
      <c r="H90" s="496"/>
      <c r="I90" s="496"/>
      <c r="J90" s="496"/>
      <c r="K90" s="496"/>
      <c r="L90" s="496"/>
      <c r="M90" s="496"/>
      <c r="N90" s="496"/>
      <c r="O90" s="496"/>
      <c r="P90" s="496"/>
      <c r="Q90" s="496"/>
      <c r="R90" s="496"/>
      <c r="S90" s="496"/>
      <c r="T90" s="496"/>
      <c r="U90" s="496"/>
      <c r="V90" s="496"/>
      <c r="W90" s="496"/>
      <c r="X90" s="496"/>
      <c r="Y90" s="496"/>
      <c r="Z90" s="496"/>
      <c r="AA90" s="496"/>
      <c r="AB90" s="496"/>
      <c r="AC90" s="496"/>
      <c r="AD90" s="133">
        <f>1-AD87</f>
        <v>0.95</v>
      </c>
      <c r="AE90" s="84">
        <f>7/30/12</f>
        <v>1.9444444444444445E-2</v>
      </c>
      <c r="AF90" s="230">
        <f>ROUND(AE90*AF42,2)</f>
        <v>66.38</v>
      </c>
    </row>
    <row r="91" spans="2:37" ht="20.25" customHeight="1">
      <c r="B91" s="479" t="s">
        <v>37</v>
      </c>
      <c r="C91" s="480"/>
      <c r="D91" s="480"/>
      <c r="E91" s="487" t="s">
        <v>242</v>
      </c>
      <c r="F91" s="487"/>
      <c r="G91" s="487"/>
      <c r="H91" s="487"/>
      <c r="I91" s="487"/>
      <c r="J91" s="487"/>
      <c r="K91" s="487"/>
      <c r="L91" s="487"/>
      <c r="M91" s="487"/>
      <c r="N91" s="487"/>
      <c r="O91" s="487"/>
      <c r="P91" s="487"/>
      <c r="Q91" s="487"/>
      <c r="R91" s="487"/>
      <c r="S91" s="487"/>
      <c r="T91" s="487"/>
      <c r="U91" s="487"/>
      <c r="V91" s="487"/>
      <c r="W91" s="487"/>
      <c r="X91" s="487"/>
      <c r="Y91" s="487"/>
      <c r="Z91" s="487"/>
      <c r="AA91" s="487"/>
      <c r="AB91" s="487"/>
      <c r="AC91" s="487"/>
      <c r="AD91" s="487"/>
      <c r="AE91" s="84">
        <f>AE63</f>
        <v>0.36800000000000005</v>
      </c>
      <c r="AF91" s="230">
        <f>ROUND(AF90*AE63,2)</f>
        <v>24.43</v>
      </c>
    </row>
    <row r="92" spans="2:37" ht="20.25" customHeight="1">
      <c r="B92" s="479" t="s">
        <v>39</v>
      </c>
      <c r="C92" s="480"/>
      <c r="D92" s="480"/>
      <c r="E92" s="487" t="s">
        <v>243</v>
      </c>
      <c r="F92" s="487"/>
      <c r="G92" s="487"/>
      <c r="H92" s="487"/>
      <c r="I92" s="487"/>
      <c r="J92" s="487"/>
      <c r="K92" s="487"/>
      <c r="L92" s="487"/>
      <c r="M92" s="487"/>
      <c r="N92" s="487"/>
      <c r="O92" s="487"/>
      <c r="P92" s="487"/>
      <c r="Q92" s="487"/>
      <c r="R92" s="487"/>
      <c r="S92" s="487"/>
      <c r="T92" s="487"/>
      <c r="U92" s="487"/>
      <c r="V92" s="487"/>
      <c r="W92" s="487"/>
      <c r="X92" s="487"/>
      <c r="Y92" s="487"/>
      <c r="Z92" s="487"/>
      <c r="AA92" s="487"/>
      <c r="AB92" s="487"/>
      <c r="AC92" s="487"/>
      <c r="AD92" s="487"/>
      <c r="AE92" s="84">
        <f>0.08*0.5*AD90</f>
        <v>3.7999999999999999E-2</v>
      </c>
      <c r="AF92" s="243">
        <f>ROUND(AE92*AF$42,2)</f>
        <v>129.72</v>
      </c>
      <c r="AK92" s="63"/>
    </row>
    <row r="93" spans="2:37" ht="24" customHeight="1" thickBot="1">
      <c r="B93" s="488" t="s">
        <v>75</v>
      </c>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c r="AE93" s="223">
        <f>IF(AF$42=0,"",AF93/AF$42)</f>
        <v>7.1099654344132637E-2</v>
      </c>
      <c r="AF93" s="239">
        <f>SUM(AF87:AF92)</f>
        <v>242.72</v>
      </c>
      <c r="AG93" s="64"/>
    </row>
    <row r="94" spans="2:37" ht="12.75" customHeight="1" thickBot="1"/>
    <row r="95" spans="2:37" ht="24" customHeight="1" thickBot="1">
      <c r="B95" s="518" t="s">
        <v>244</v>
      </c>
      <c r="C95" s="519"/>
      <c r="D95" s="519"/>
      <c r="E95" s="519"/>
      <c r="F95" s="519"/>
      <c r="G95" s="519"/>
      <c r="H95" s="519"/>
      <c r="I95" s="519"/>
      <c r="J95" s="519"/>
      <c r="K95" s="519"/>
      <c r="L95" s="519"/>
      <c r="M95" s="519"/>
      <c r="N95" s="519"/>
      <c r="O95" s="519"/>
      <c r="P95" s="519"/>
      <c r="Q95" s="519"/>
      <c r="R95" s="519"/>
      <c r="S95" s="519"/>
      <c r="T95" s="519"/>
      <c r="U95" s="519"/>
      <c r="V95" s="519"/>
      <c r="W95" s="519"/>
      <c r="X95" s="519"/>
      <c r="Y95" s="519"/>
      <c r="Z95" s="519"/>
      <c r="AA95" s="519"/>
      <c r="AB95" s="519"/>
      <c r="AC95" s="519"/>
      <c r="AD95" s="519"/>
      <c r="AE95" s="519"/>
      <c r="AF95" s="520"/>
    </row>
    <row r="96" spans="2:37" ht="13.5" thickBot="1"/>
    <row r="97" spans="2:37" ht="29.25" customHeight="1">
      <c r="B97" s="227" t="s">
        <v>245</v>
      </c>
      <c r="C97" s="228"/>
      <c r="D97" s="228"/>
      <c r="E97" s="228"/>
      <c r="F97" s="228"/>
      <c r="G97" s="228"/>
      <c r="H97" s="228"/>
      <c r="I97" s="228"/>
      <c r="J97" s="228"/>
      <c r="K97" s="228"/>
      <c r="L97" s="228"/>
      <c r="M97" s="228"/>
      <c r="N97" s="228"/>
      <c r="O97" s="228"/>
      <c r="P97" s="228"/>
      <c r="Q97" s="228"/>
      <c r="R97" s="228"/>
      <c r="S97" s="228"/>
      <c r="T97" s="228"/>
      <c r="U97" s="228"/>
      <c r="V97" s="228"/>
      <c r="W97" s="228"/>
      <c r="X97" s="228"/>
      <c r="Y97" s="228"/>
      <c r="Z97" s="228"/>
      <c r="AA97" s="228"/>
      <c r="AB97" s="228"/>
      <c r="AC97" s="228"/>
      <c r="AD97" s="228"/>
      <c r="AE97" s="237" t="s">
        <v>246</v>
      </c>
      <c r="AF97" s="238">
        <f>AF42+AF82+AF93</f>
        <v>6936.0900000000011</v>
      </c>
    </row>
    <row r="98" spans="2:37" ht="21" customHeight="1">
      <c r="B98" s="476" t="s">
        <v>65</v>
      </c>
      <c r="C98" s="477"/>
      <c r="D98" s="477"/>
      <c r="E98" s="77" t="s">
        <v>247</v>
      </c>
      <c r="F98" s="78"/>
      <c r="G98" s="78"/>
      <c r="H98" s="78"/>
      <c r="I98" s="78"/>
      <c r="J98" s="78"/>
      <c r="K98" s="78"/>
      <c r="L98" s="78"/>
      <c r="M98" s="78"/>
      <c r="N98" s="78"/>
      <c r="O98" s="78"/>
      <c r="P98" s="78"/>
      <c r="Q98" s="78"/>
      <c r="R98" s="78"/>
      <c r="S98" s="78"/>
      <c r="T98" s="78"/>
      <c r="U98" s="78"/>
      <c r="V98" s="78"/>
      <c r="W98" s="78"/>
      <c r="X98" s="78"/>
      <c r="Y98" s="78"/>
      <c r="Z98" s="78"/>
      <c r="AA98" s="78"/>
      <c r="AB98" s="78"/>
      <c r="AC98" s="78"/>
      <c r="AD98" s="100" t="s">
        <v>248</v>
      </c>
      <c r="AE98" s="82" t="s">
        <v>31</v>
      </c>
      <c r="AF98" s="229" t="s">
        <v>24</v>
      </c>
    </row>
    <row r="99" spans="2:37" ht="21" customHeight="1">
      <c r="B99" s="479" t="s">
        <v>7</v>
      </c>
      <c r="C99" s="480"/>
      <c r="D99" s="480"/>
      <c r="E99" s="496" t="s">
        <v>249</v>
      </c>
      <c r="F99" s="496"/>
      <c r="G99" s="496"/>
      <c r="H99" s="496"/>
      <c r="I99" s="496"/>
      <c r="J99" s="496"/>
      <c r="K99" s="496"/>
      <c r="L99" s="496"/>
      <c r="M99" s="496"/>
      <c r="N99" s="496"/>
      <c r="O99" s="496"/>
      <c r="P99" s="496"/>
      <c r="Q99" s="496"/>
      <c r="R99" s="496"/>
      <c r="S99" s="496"/>
      <c r="T99" s="496"/>
      <c r="U99" s="496"/>
      <c r="V99" s="496"/>
      <c r="W99" s="496"/>
      <c r="X99" s="496"/>
      <c r="Y99" s="496"/>
      <c r="Z99" s="496"/>
      <c r="AA99" s="496"/>
      <c r="AB99" s="496"/>
      <c r="AC99" s="496"/>
      <c r="AD99" s="65" t="s">
        <v>33</v>
      </c>
      <c r="AE99" s="84">
        <f>((1+1/3)/12)/12</f>
        <v>9.2592592592592587E-3</v>
      </c>
      <c r="AF99" s="230">
        <f>AE99*AF97</f>
        <v>64.223055555555561</v>
      </c>
      <c r="AI99" s="55"/>
      <c r="AK99" s="62"/>
    </row>
    <row r="100" spans="2:37" ht="21" customHeight="1">
      <c r="B100" s="468" t="s">
        <v>9</v>
      </c>
      <c r="C100" s="284"/>
      <c r="D100" s="284"/>
      <c r="E100" s="496" t="s">
        <v>250</v>
      </c>
      <c r="F100" s="496"/>
      <c r="G100" s="496"/>
      <c r="H100" s="496"/>
      <c r="I100" s="496"/>
      <c r="J100" s="496"/>
      <c r="K100" s="496"/>
      <c r="L100" s="496"/>
      <c r="M100" s="496"/>
      <c r="N100" s="496"/>
      <c r="O100" s="496"/>
      <c r="P100" s="496"/>
      <c r="Q100" s="496"/>
      <c r="R100" s="496"/>
      <c r="S100" s="496"/>
      <c r="T100" s="496"/>
      <c r="U100" s="496"/>
      <c r="V100" s="496"/>
      <c r="W100" s="496"/>
      <c r="X100" s="496"/>
      <c r="Y100" s="496"/>
      <c r="Z100" s="496"/>
      <c r="AA100" s="496"/>
      <c r="AB100" s="496"/>
      <c r="AC100" s="496"/>
      <c r="AD100" s="134">
        <v>2</v>
      </c>
      <c r="AE100" s="180">
        <f>((AD100/30)/12)</f>
        <v>5.5555555555555558E-3</v>
      </c>
      <c r="AF100" s="230">
        <f>ROUND(AE100*AF$97,2)</f>
        <v>38.53</v>
      </c>
    </row>
    <row r="101" spans="2:37" ht="21" customHeight="1">
      <c r="B101" s="468" t="s">
        <v>11</v>
      </c>
      <c r="C101" s="284"/>
      <c r="D101" s="284"/>
      <c r="E101" s="496" t="s">
        <v>251</v>
      </c>
      <c r="F101" s="496"/>
      <c r="G101" s="496"/>
      <c r="H101" s="496"/>
      <c r="I101" s="496"/>
      <c r="J101" s="496"/>
      <c r="K101" s="496"/>
      <c r="L101" s="496"/>
      <c r="M101" s="496"/>
      <c r="N101" s="496"/>
      <c r="O101" s="496"/>
      <c r="P101" s="496"/>
      <c r="Q101" s="496"/>
      <c r="R101" s="496"/>
      <c r="S101" s="496"/>
      <c r="T101" s="496"/>
      <c r="U101" s="496"/>
      <c r="V101" s="496"/>
      <c r="W101" s="496"/>
      <c r="X101" s="496"/>
      <c r="Y101" s="496"/>
      <c r="Z101" s="496"/>
      <c r="AA101" s="496"/>
      <c r="AB101" s="496"/>
      <c r="AC101" s="496"/>
      <c r="AD101" s="135">
        <v>0.02</v>
      </c>
      <c r="AE101" s="180">
        <f>((20/30)/12)*AD101</f>
        <v>1.1111111111111111E-3</v>
      </c>
      <c r="AF101" s="230">
        <f>ROUND(AE101*AF$97,2)</f>
        <v>7.71</v>
      </c>
    </row>
    <row r="102" spans="2:37" ht="21" customHeight="1">
      <c r="B102" s="468" t="s">
        <v>13</v>
      </c>
      <c r="C102" s="284"/>
      <c r="D102" s="284"/>
      <c r="E102" s="496" t="s">
        <v>252</v>
      </c>
      <c r="F102" s="496"/>
      <c r="G102" s="496"/>
      <c r="H102" s="496"/>
      <c r="I102" s="496"/>
      <c r="J102" s="496"/>
      <c r="K102" s="496"/>
      <c r="L102" s="496"/>
      <c r="M102" s="496"/>
      <c r="N102" s="496"/>
      <c r="O102" s="496"/>
      <c r="P102" s="496"/>
      <c r="Q102" s="496"/>
      <c r="R102" s="496"/>
      <c r="S102" s="496"/>
      <c r="T102" s="496"/>
      <c r="U102" s="496"/>
      <c r="V102" s="496"/>
      <c r="W102" s="496"/>
      <c r="X102" s="496"/>
      <c r="Y102" s="496"/>
      <c r="Z102" s="496"/>
      <c r="AA102" s="496"/>
      <c r="AB102" s="496"/>
      <c r="AC102" s="496"/>
      <c r="AD102" s="135">
        <v>0.08</v>
      </c>
      <c r="AE102" s="180">
        <f>((15/30)/12)*AD102</f>
        <v>3.3333333333333331E-3</v>
      </c>
      <c r="AF102" s="230">
        <f>ROUND(AE102*AF$97,2)</f>
        <v>23.12</v>
      </c>
    </row>
    <row r="103" spans="2:37" ht="21" customHeight="1">
      <c r="B103" s="468" t="s">
        <v>37</v>
      </c>
      <c r="C103" s="284"/>
      <c r="D103" s="284"/>
      <c r="E103" s="496" t="s">
        <v>253</v>
      </c>
      <c r="F103" s="496"/>
      <c r="G103" s="496"/>
      <c r="H103" s="496"/>
      <c r="I103" s="496"/>
      <c r="J103" s="496"/>
      <c r="K103" s="496"/>
      <c r="L103" s="496"/>
      <c r="M103" s="496"/>
      <c r="N103" s="496"/>
      <c r="O103" s="496"/>
      <c r="P103" s="496"/>
      <c r="Q103" s="496"/>
      <c r="R103" s="496"/>
      <c r="S103" s="496"/>
      <c r="T103" s="496"/>
      <c r="U103" s="496"/>
      <c r="V103" s="496"/>
      <c r="W103" s="496"/>
      <c r="X103" s="496"/>
      <c r="Y103" s="496"/>
      <c r="Z103" s="496"/>
      <c r="AA103" s="496"/>
      <c r="AB103" s="496"/>
      <c r="AC103" s="496"/>
      <c r="AD103" s="135">
        <v>0.03</v>
      </c>
      <c r="AE103" s="180">
        <f>((1+1/3)/12*AD103*((4/12)))</f>
        <v>1.1111111111111109E-3</v>
      </c>
      <c r="AF103" s="230">
        <f>ROUND(AE103*AF$97,2)</f>
        <v>7.71</v>
      </c>
    </row>
    <row r="104" spans="2:37" ht="21" customHeight="1">
      <c r="B104" s="468" t="s">
        <v>39</v>
      </c>
      <c r="C104" s="284"/>
      <c r="D104" s="284"/>
      <c r="E104" s="66" t="s">
        <v>254</v>
      </c>
      <c r="F104" s="67"/>
      <c r="G104" s="67"/>
      <c r="H104" s="68"/>
      <c r="I104" s="68"/>
      <c r="J104" s="68"/>
      <c r="K104" s="68"/>
      <c r="L104" s="68"/>
      <c r="M104" s="68"/>
      <c r="N104" s="68"/>
      <c r="O104" s="68"/>
      <c r="P104" s="68"/>
      <c r="Q104" s="68"/>
      <c r="R104" s="68"/>
      <c r="S104" s="469"/>
      <c r="T104" s="469"/>
      <c r="U104" s="469"/>
      <c r="V104" s="469"/>
      <c r="W104" s="469"/>
      <c r="X104" s="469"/>
      <c r="Y104" s="469"/>
      <c r="Z104" s="469"/>
      <c r="AA104" s="469"/>
      <c r="AB104" s="469"/>
      <c r="AC104" s="469"/>
      <c r="AD104" s="134"/>
      <c r="AE104" s="180">
        <f>((AD104/30)/12)</f>
        <v>0</v>
      </c>
      <c r="AF104" s="226">
        <f>ROUND(AE104*AF$97,2)</f>
        <v>0</v>
      </c>
    </row>
    <row r="105" spans="2:37" ht="21" customHeight="1" thickBot="1">
      <c r="B105" s="483" t="s">
        <v>81</v>
      </c>
      <c r="C105" s="484"/>
      <c r="D105" s="484"/>
      <c r="E105" s="484"/>
      <c r="F105" s="484"/>
      <c r="G105" s="484"/>
      <c r="H105" s="484"/>
      <c r="I105" s="484"/>
      <c r="J105" s="484"/>
      <c r="K105" s="484"/>
      <c r="L105" s="484"/>
      <c r="M105" s="484"/>
      <c r="N105" s="484"/>
      <c r="O105" s="484"/>
      <c r="P105" s="484"/>
      <c r="Q105" s="484"/>
      <c r="R105" s="484"/>
      <c r="S105" s="484"/>
      <c r="T105" s="484"/>
      <c r="U105" s="484"/>
      <c r="V105" s="484"/>
      <c r="W105" s="484"/>
      <c r="X105" s="484"/>
      <c r="Y105" s="484"/>
      <c r="Z105" s="484"/>
      <c r="AA105" s="484"/>
      <c r="AB105" s="484"/>
      <c r="AC105" s="484"/>
      <c r="AD105" s="484"/>
      <c r="AE105" s="223">
        <f>SUM(AE99:AE104)</f>
        <v>2.0370370370370372E-2</v>
      </c>
      <c r="AF105" s="239">
        <f>SUM(AF99:AF104)</f>
        <v>141.29305555555555</v>
      </c>
    </row>
    <row r="106" spans="2:37" ht="12.75" customHeight="1" thickBot="1"/>
    <row r="107" spans="2:37" ht="29.25" customHeight="1">
      <c r="B107" s="227" t="s">
        <v>255</v>
      </c>
      <c r="C107" s="228"/>
      <c r="D107" s="228"/>
      <c r="E107" s="228"/>
      <c r="F107" s="228"/>
      <c r="G107" s="228"/>
      <c r="H107" s="228"/>
      <c r="I107" s="228"/>
      <c r="J107" s="228"/>
      <c r="K107" s="228"/>
      <c r="L107" s="228"/>
      <c r="M107" s="228"/>
      <c r="N107" s="228"/>
      <c r="O107" s="228"/>
      <c r="P107" s="228"/>
      <c r="Q107" s="228"/>
      <c r="R107" s="228"/>
      <c r="S107" s="228"/>
      <c r="T107" s="228"/>
      <c r="U107" s="228"/>
      <c r="V107" s="228"/>
      <c r="W107" s="228"/>
      <c r="X107" s="228"/>
      <c r="Y107" s="228"/>
      <c r="Z107" s="228"/>
      <c r="AA107" s="228"/>
      <c r="AB107" s="228"/>
      <c r="AC107" s="228"/>
      <c r="AD107" s="228"/>
      <c r="AE107" s="470" t="s">
        <v>203</v>
      </c>
      <c r="AF107" s="471"/>
    </row>
    <row r="108" spans="2:37" ht="18" customHeight="1">
      <c r="B108" s="476" t="s">
        <v>77</v>
      </c>
      <c r="C108" s="477"/>
      <c r="D108" s="477"/>
      <c r="E108" s="78" t="s">
        <v>256</v>
      </c>
      <c r="F108" s="78"/>
      <c r="G108" s="78"/>
      <c r="H108" s="78"/>
      <c r="I108" s="78"/>
      <c r="J108" s="78"/>
      <c r="K108" s="78"/>
      <c r="L108" s="78"/>
      <c r="M108" s="78"/>
      <c r="N108" s="78"/>
      <c r="O108" s="78"/>
      <c r="P108" s="78"/>
      <c r="Q108" s="78"/>
      <c r="R108" s="78"/>
      <c r="S108" s="78"/>
      <c r="T108" s="78"/>
      <c r="U108" s="78"/>
      <c r="V108" s="78"/>
      <c r="W108" s="78"/>
      <c r="X108" s="78"/>
      <c r="Y108" s="78"/>
      <c r="Z108" s="78"/>
      <c r="AA108" s="78"/>
      <c r="AB108" s="78"/>
      <c r="AC108" s="78"/>
      <c r="AD108" s="78"/>
      <c r="AE108" s="82" t="s">
        <v>31</v>
      </c>
      <c r="AF108" s="229" t="s">
        <v>24</v>
      </c>
    </row>
    <row r="109" spans="2:37" ht="21" customHeight="1">
      <c r="B109" s="479" t="s">
        <v>7</v>
      </c>
      <c r="C109" s="480"/>
      <c r="D109" s="480"/>
      <c r="E109" s="487" t="s">
        <v>257</v>
      </c>
      <c r="F109" s="487"/>
      <c r="G109" s="487"/>
      <c r="H109" s="487"/>
      <c r="I109" s="487"/>
      <c r="J109" s="487"/>
      <c r="K109" s="487"/>
      <c r="L109" s="487"/>
      <c r="M109" s="487"/>
      <c r="N109" s="487"/>
      <c r="O109" s="487"/>
      <c r="P109" s="487"/>
      <c r="Q109" s="487"/>
      <c r="R109" s="487"/>
      <c r="S109" s="487"/>
      <c r="T109" s="487"/>
      <c r="U109" s="487"/>
      <c r="V109" s="487"/>
      <c r="W109" s="487"/>
      <c r="X109" s="487"/>
      <c r="Y109" s="487"/>
      <c r="Z109" s="487"/>
      <c r="AA109" s="487"/>
      <c r="AB109" s="487"/>
      <c r="AC109" s="487"/>
      <c r="AD109" s="487"/>
      <c r="AE109" s="145"/>
      <c r="AF109" s="230">
        <f>IF(AE109="",0,ROUND(AF97/220*1*7*4.345/2,2))</f>
        <v>0</v>
      </c>
    </row>
    <row r="110" spans="2:37" ht="18" customHeight="1" thickBot="1">
      <c r="B110" s="483" t="s">
        <v>81</v>
      </c>
      <c r="C110" s="484"/>
      <c r="D110" s="484"/>
      <c r="E110" s="484"/>
      <c r="F110" s="484"/>
      <c r="G110" s="484"/>
      <c r="H110" s="484"/>
      <c r="I110" s="484"/>
      <c r="J110" s="484"/>
      <c r="K110" s="484"/>
      <c r="L110" s="484"/>
      <c r="M110" s="484"/>
      <c r="N110" s="484"/>
      <c r="O110" s="484"/>
      <c r="P110" s="484"/>
      <c r="Q110" s="484"/>
      <c r="R110" s="484"/>
      <c r="S110" s="484"/>
      <c r="T110" s="484"/>
      <c r="U110" s="484"/>
      <c r="V110" s="484"/>
      <c r="W110" s="484"/>
      <c r="X110" s="484"/>
      <c r="Y110" s="484"/>
      <c r="Z110" s="484"/>
      <c r="AA110" s="484"/>
      <c r="AB110" s="484"/>
      <c r="AC110" s="484"/>
      <c r="AD110" s="484"/>
      <c r="AE110" s="223" t="s">
        <v>33</v>
      </c>
      <c r="AF110" s="231">
        <f>AF109</f>
        <v>0</v>
      </c>
    </row>
    <row r="111" spans="2:37" ht="12.75" customHeight="1" thickBot="1"/>
    <row r="112" spans="2:37" ht="17.25" customHeight="1">
      <c r="B112" s="232" t="s">
        <v>258</v>
      </c>
      <c r="C112" s="233"/>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16" t="s">
        <v>31</v>
      </c>
      <c r="AF112" s="217" t="s">
        <v>24</v>
      </c>
      <c r="AH112" s="62"/>
    </row>
    <row r="113" spans="2:34" ht="17.25" customHeight="1">
      <c r="B113" s="479" t="s">
        <v>65</v>
      </c>
      <c r="C113" s="480"/>
      <c r="D113" s="480"/>
      <c r="E113" s="481" t="str">
        <f>E98</f>
        <v>Substituto nas Ausências legais</v>
      </c>
      <c r="F113" s="481"/>
      <c r="G113" s="481"/>
      <c r="H113" s="481"/>
      <c r="I113" s="481"/>
      <c r="J113" s="481"/>
      <c r="K113" s="481"/>
      <c r="L113" s="481"/>
      <c r="M113" s="481"/>
      <c r="N113" s="481"/>
      <c r="O113" s="481"/>
      <c r="P113" s="481"/>
      <c r="Q113" s="481"/>
      <c r="R113" s="481"/>
      <c r="S113" s="481"/>
      <c r="T113" s="481"/>
      <c r="U113" s="481"/>
      <c r="V113" s="481"/>
      <c r="W113" s="481"/>
      <c r="X113" s="481"/>
      <c r="Y113" s="481"/>
      <c r="Z113" s="481"/>
      <c r="AA113" s="481"/>
      <c r="AB113" s="481"/>
      <c r="AC113" s="481"/>
      <c r="AD113" s="481"/>
      <c r="AE113" s="84">
        <f>IF(AF$42=0,"",AF113/AF$42)</f>
        <v>4.1388791245988502E-2</v>
      </c>
      <c r="AF113" s="234">
        <f>AF105</f>
        <v>141.29305555555555</v>
      </c>
    </row>
    <row r="114" spans="2:34" ht="17.25" customHeight="1">
      <c r="B114" s="479" t="s">
        <v>77</v>
      </c>
      <c r="C114" s="480"/>
      <c r="D114" s="480"/>
      <c r="E114" s="481" t="str">
        <f>E108</f>
        <v>Substituto na Intrajornada</v>
      </c>
      <c r="F114" s="481"/>
      <c r="G114" s="481"/>
      <c r="H114" s="481"/>
      <c r="I114" s="481"/>
      <c r="J114" s="481"/>
      <c r="K114" s="481"/>
      <c r="L114" s="481"/>
      <c r="M114" s="481"/>
      <c r="N114" s="481"/>
      <c r="O114" s="481"/>
      <c r="P114" s="481"/>
      <c r="Q114" s="481"/>
      <c r="R114" s="481"/>
      <c r="S114" s="481"/>
      <c r="T114" s="481"/>
      <c r="U114" s="481"/>
      <c r="V114" s="481"/>
      <c r="W114" s="481"/>
      <c r="X114" s="481"/>
      <c r="Y114" s="481"/>
      <c r="Z114" s="481"/>
      <c r="AA114" s="481"/>
      <c r="AB114" s="481"/>
      <c r="AC114" s="481"/>
      <c r="AD114" s="481"/>
      <c r="AE114" s="84">
        <f>IF(AF$42=0,"",AF114/AF$42)</f>
        <v>0</v>
      </c>
      <c r="AF114" s="234">
        <f>AF110</f>
        <v>0</v>
      </c>
      <c r="AH114" s="62"/>
    </row>
    <row r="115" spans="2:34" ht="17.25" customHeight="1" thickBot="1">
      <c r="B115" s="497" t="s">
        <v>75</v>
      </c>
      <c r="C115" s="498"/>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235">
        <f>SUM(AE113:AE114)</f>
        <v>4.1388791245988502E-2</v>
      </c>
      <c r="AF115" s="236">
        <f>SUM(AF113:AF114)</f>
        <v>141.29305555555555</v>
      </c>
    </row>
    <row r="116" spans="2:34" ht="13.5" thickBot="1">
      <c r="AE116" s="69"/>
    </row>
    <row r="117" spans="2:34" ht="24" customHeight="1" thickBot="1">
      <c r="B117" s="518" t="s">
        <v>259</v>
      </c>
      <c r="C117" s="519"/>
      <c r="D117" s="519"/>
      <c r="E117" s="519"/>
      <c r="F117" s="519"/>
      <c r="G117" s="519"/>
      <c r="H117" s="519"/>
      <c r="I117" s="519"/>
      <c r="J117" s="519"/>
      <c r="K117" s="519"/>
      <c r="L117" s="519"/>
      <c r="M117" s="519"/>
      <c r="N117" s="519"/>
      <c r="O117" s="519"/>
      <c r="P117" s="519"/>
      <c r="Q117" s="519"/>
      <c r="R117" s="519"/>
      <c r="S117" s="519"/>
      <c r="T117" s="519"/>
      <c r="U117" s="519"/>
      <c r="V117" s="519"/>
      <c r="W117" s="519"/>
      <c r="X117" s="519"/>
      <c r="Y117" s="519"/>
      <c r="Z117" s="519"/>
      <c r="AA117" s="519"/>
      <c r="AB117" s="519"/>
      <c r="AC117" s="519"/>
      <c r="AD117" s="519"/>
      <c r="AE117" s="519"/>
      <c r="AF117" s="520"/>
    </row>
    <row r="118" spans="2:34" ht="12.75" customHeight="1" thickBot="1"/>
    <row r="119" spans="2:34" ht="18" customHeight="1">
      <c r="B119" s="472">
        <v>5</v>
      </c>
      <c r="C119" s="473"/>
      <c r="D119" s="473"/>
      <c r="E119" s="474" t="s">
        <v>56</v>
      </c>
      <c r="F119" s="474"/>
      <c r="G119" s="474"/>
      <c r="H119" s="474"/>
      <c r="I119" s="474"/>
      <c r="J119" s="474"/>
      <c r="K119" s="474"/>
      <c r="L119" s="474"/>
      <c r="M119" s="474"/>
      <c r="N119" s="474"/>
      <c r="O119" s="474"/>
      <c r="P119" s="474"/>
      <c r="Q119" s="474"/>
      <c r="R119" s="474"/>
      <c r="S119" s="474"/>
      <c r="T119" s="474"/>
      <c r="U119" s="474"/>
      <c r="V119" s="474"/>
      <c r="W119" s="474"/>
      <c r="X119" s="474"/>
      <c r="Y119" s="474"/>
      <c r="Z119" s="474"/>
      <c r="AA119" s="474"/>
      <c r="AB119" s="474"/>
      <c r="AC119" s="474"/>
      <c r="AD119" s="474"/>
      <c r="AE119" s="216" t="s">
        <v>31</v>
      </c>
      <c r="AF119" s="217" t="s">
        <v>24</v>
      </c>
    </row>
    <row r="120" spans="2:34" ht="25.5" customHeight="1">
      <c r="B120" s="468" t="s">
        <v>7</v>
      </c>
      <c r="C120" s="284"/>
      <c r="D120" s="284"/>
      <c r="E120" s="300" t="s">
        <v>403</v>
      </c>
      <c r="F120" s="295"/>
      <c r="G120" s="295"/>
      <c r="H120" s="295"/>
      <c r="I120" s="295"/>
      <c r="J120" s="295"/>
      <c r="K120" s="295"/>
      <c r="L120" s="295"/>
      <c r="M120" s="295"/>
      <c r="N120" s="295"/>
      <c r="O120" s="295"/>
      <c r="P120" s="295"/>
      <c r="Q120" s="295"/>
      <c r="R120" s="295"/>
      <c r="S120" s="295"/>
      <c r="T120" s="295"/>
      <c r="U120" s="295"/>
      <c r="V120" s="295"/>
      <c r="W120" s="295"/>
      <c r="X120" s="295"/>
      <c r="Y120" s="295"/>
      <c r="Z120" s="295"/>
      <c r="AA120" s="295"/>
      <c r="AB120" s="295"/>
      <c r="AC120" s="295"/>
      <c r="AD120" s="295"/>
      <c r="AE120" s="84">
        <f>IF(AF$42=0,"",AF120/AF$42)</f>
        <v>1.525670318511141E-4</v>
      </c>
      <c r="AF120" s="225">
        <f>'VI. Insumos Diversos'!I92</f>
        <v>0.52083333333333337</v>
      </c>
    </row>
    <row r="121" spans="2:34" ht="25.5" customHeight="1">
      <c r="B121" s="468" t="s">
        <v>9</v>
      </c>
      <c r="C121" s="284"/>
      <c r="D121" s="284"/>
      <c r="E121" s="358" t="s">
        <v>406</v>
      </c>
      <c r="F121" s="359"/>
      <c r="G121" s="359"/>
      <c r="H121" s="359"/>
      <c r="I121" s="359"/>
      <c r="J121" s="359"/>
      <c r="K121" s="359"/>
      <c r="L121" s="359"/>
      <c r="M121" s="359"/>
      <c r="N121" s="359"/>
      <c r="O121" s="359"/>
      <c r="P121" s="359"/>
      <c r="Q121" s="359"/>
      <c r="R121" s="359"/>
      <c r="S121" s="359"/>
      <c r="T121" s="359"/>
      <c r="U121" s="359"/>
      <c r="V121" s="359"/>
      <c r="W121" s="359"/>
      <c r="X121" s="359"/>
      <c r="Y121" s="359"/>
      <c r="Z121" s="359"/>
      <c r="AA121" s="359"/>
      <c r="AB121" s="359"/>
      <c r="AC121" s="359"/>
      <c r="AD121" s="360"/>
      <c r="AE121" s="84">
        <f t="shared" ref="AE121:AE129" si="2">IF(AF$42=0,"",AF121/AF$42)</f>
        <v>1.5256703185111411E-2</v>
      </c>
      <c r="AF121" s="225">
        <f>'VI. Insumos Diversos'!I93</f>
        <v>52.083333333333336</v>
      </c>
    </row>
    <row r="122" spans="2:34" ht="25.5" customHeight="1">
      <c r="B122" s="468" t="s">
        <v>11</v>
      </c>
      <c r="C122" s="284"/>
      <c r="D122" s="284"/>
      <c r="E122" s="358" t="s">
        <v>404</v>
      </c>
      <c r="F122" s="359"/>
      <c r="G122" s="359"/>
      <c r="H122" s="359"/>
      <c r="I122" s="359"/>
      <c r="J122" s="359"/>
      <c r="K122" s="359"/>
      <c r="L122" s="359"/>
      <c r="M122" s="359"/>
      <c r="N122" s="359"/>
      <c r="O122" s="359"/>
      <c r="P122" s="359"/>
      <c r="Q122" s="359"/>
      <c r="R122" s="359"/>
      <c r="S122" s="359"/>
      <c r="T122" s="359"/>
      <c r="U122" s="359"/>
      <c r="V122" s="359"/>
      <c r="W122" s="359"/>
      <c r="X122" s="359"/>
      <c r="Y122" s="359"/>
      <c r="Z122" s="359"/>
      <c r="AA122" s="359"/>
      <c r="AB122" s="359"/>
      <c r="AC122" s="359"/>
      <c r="AD122" s="360"/>
      <c r="AE122" s="84">
        <f t="shared" si="2"/>
        <v>6.1026812740445635E-3</v>
      </c>
      <c r="AF122" s="225">
        <f>'VI. Insumos Diversos'!I94</f>
        <v>20.833333333333332</v>
      </c>
    </row>
    <row r="123" spans="2:34" ht="25.5" customHeight="1">
      <c r="B123" s="468" t="s">
        <v>13</v>
      </c>
      <c r="C123" s="284"/>
      <c r="D123" s="284"/>
      <c r="E123" s="358" t="s">
        <v>407</v>
      </c>
      <c r="F123" s="359"/>
      <c r="G123" s="359"/>
      <c r="H123" s="359"/>
      <c r="I123" s="359"/>
      <c r="J123" s="359"/>
      <c r="K123" s="359"/>
      <c r="L123" s="359"/>
      <c r="M123" s="359"/>
      <c r="N123" s="359"/>
      <c r="O123" s="359"/>
      <c r="P123" s="359"/>
      <c r="Q123" s="359"/>
      <c r="R123" s="359"/>
      <c r="S123" s="359"/>
      <c r="T123" s="359"/>
      <c r="U123" s="359"/>
      <c r="V123" s="359"/>
      <c r="W123" s="359"/>
      <c r="X123" s="359"/>
      <c r="Y123" s="359"/>
      <c r="Z123" s="359"/>
      <c r="AA123" s="359"/>
      <c r="AB123" s="359"/>
      <c r="AC123" s="359"/>
      <c r="AD123" s="360"/>
      <c r="AE123" s="84">
        <f t="shared" si="2"/>
        <v>1.7163791083250335E-2</v>
      </c>
      <c r="AF123" s="225">
        <f>'VI. Insumos Diversos'!I95</f>
        <v>58.59375</v>
      </c>
    </row>
    <row r="124" spans="2:34" ht="25.5" customHeight="1">
      <c r="B124" s="468" t="s">
        <v>37</v>
      </c>
      <c r="C124" s="284"/>
      <c r="D124" s="284"/>
      <c r="E124" s="358" t="s">
        <v>405</v>
      </c>
      <c r="F124" s="359"/>
      <c r="G124" s="359"/>
      <c r="H124" s="359"/>
      <c r="I124" s="359"/>
      <c r="J124" s="359"/>
      <c r="K124" s="359"/>
      <c r="L124" s="359"/>
      <c r="M124" s="359"/>
      <c r="N124" s="359"/>
      <c r="O124" s="359"/>
      <c r="P124" s="359"/>
      <c r="Q124" s="359"/>
      <c r="R124" s="359"/>
      <c r="S124" s="359"/>
      <c r="T124" s="359"/>
      <c r="U124" s="359"/>
      <c r="V124" s="359"/>
      <c r="W124" s="359"/>
      <c r="X124" s="359"/>
      <c r="Y124" s="359"/>
      <c r="Z124" s="359"/>
      <c r="AA124" s="359"/>
      <c r="AB124" s="359"/>
      <c r="AC124" s="359"/>
      <c r="AD124" s="360"/>
      <c r="AE124" s="84">
        <f t="shared" si="2"/>
        <v>2.2885054777667114E-4</v>
      </c>
      <c r="AF124" s="225">
        <f>'VI. Insumos Diversos'!I96</f>
        <v>0.78125</v>
      </c>
    </row>
    <row r="125" spans="2:34" ht="25.5" customHeight="1">
      <c r="B125" s="468" t="s">
        <v>39</v>
      </c>
      <c r="C125" s="284"/>
      <c r="D125" s="284"/>
      <c r="E125" s="358" t="s">
        <v>408</v>
      </c>
      <c r="F125" s="359"/>
      <c r="G125" s="359"/>
      <c r="H125" s="359"/>
      <c r="I125" s="359"/>
      <c r="J125" s="359"/>
      <c r="K125" s="359"/>
      <c r="L125" s="359"/>
      <c r="M125" s="359"/>
      <c r="N125" s="359"/>
      <c r="O125" s="359"/>
      <c r="P125" s="359"/>
      <c r="Q125" s="359"/>
      <c r="R125" s="359"/>
      <c r="S125" s="359"/>
      <c r="T125" s="359"/>
      <c r="U125" s="359"/>
      <c r="V125" s="359"/>
      <c r="W125" s="359"/>
      <c r="X125" s="359"/>
      <c r="Y125" s="359"/>
      <c r="Z125" s="359"/>
      <c r="AA125" s="359"/>
      <c r="AB125" s="359"/>
      <c r="AC125" s="359"/>
      <c r="AD125" s="360"/>
      <c r="AE125" s="84">
        <f t="shared" si="2"/>
        <v>4.5770109555334228E-4</v>
      </c>
      <c r="AF125" s="225">
        <f>'VI. Insumos Diversos'!I97</f>
        <v>1.5625</v>
      </c>
    </row>
    <row r="126" spans="2:34" ht="25.5" customHeight="1">
      <c r="B126" s="468" t="s">
        <v>41</v>
      </c>
      <c r="C126" s="284"/>
      <c r="D126" s="284"/>
      <c r="E126" s="358" t="s">
        <v>409</v>
      </c>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60"/>
      <c r="AE126" s="84">
        <f t="shared" si="2"/>
        <v>7.6283515925557044E-4</v>
      </c>
      <c r="AF126" s="225">
        <f>'VI. Insumos Diversos'!I98</f>
        <v>2.6041666666666665</v>
      </c>
    </row>
    <row r="127" spans="2:34" ht="25.5" customHeight="1">
      <c r="B127" s="468" t="s">
        <v>401</v>
      </c>
      <c r="C127" s="284"/>
      <c r="D127" s="284"/>
      <c r="E127" s="358" t="s">
        <v>410</v>
      </c>
      <c r="F127" s="359"/>
      <c r="G127" s="359"/>
      <c r="H127" s="359"/>
      <c r="I127" s="359"/>
      <c r="J127" s="359"/>
      <c r="K127" s="359"/>
      <c r="L127" s="359"/>
      <c r="M127" s="359"/>
      <c r="N127" s="359"/>
      <c r="O127" s="359"/>
      <c r="P127" s="359"/>
      <c r="Q127" s="359"/>
      <c r="R127" s="359"/>
      <c r="S127" s="359"/>
      <c r="T127" s="359"/>
      <c r="U127" s="359"/>
      <c r="V127" s="359"/>
      <c r="W127" s="359"/>
      <c r="X127" s="359"/>
      <c r="Y127" s="359"/>
      <c r="Z127" s="359"/>
      <c r="AA127" s="359"/>
      <c r="AB127" s="359"/>
      <c r="AC127" s="359"/>
      <c r="AD127" s="360"/>
      <c r="AE127" s="84">
        <f t="shared" si="2"/>
        <v>2.8028394555431876E-2</v>
      </c>
      <c r="AF127" s="225">
        <f>'VI. Insumos Diversos'!I99</f>
        <v>95.683333333333337</v>
      </c>
    </row>
    <row r="128" spans="2:34" ht="25.5" customHeight="1">
      <c r="B128" s="468" t="s">
        <v>396</v>
      </c>
      <c r="C128" s="284"/>
      <c r="D128" s="284"/>
      <c r="E128" s="358" t="s">
        <v>411</v>
      </c>
      <c r="F128" s="359"/>
      <c r="G128" s="359"/>
      <c r="H128" s="359"/>
      <c r="I128" s="359"/>
      <c r="J128" s="359"/>
      <c r="K128" s="359"/>
      <c r="L128" s="359"/>
      <c r="M128" s="359"/>
      <c r="N128" s="359"/>
      <c r="O128" s="359"/>
      <c r="P128" s="359"/>
      <c r="Q128" s="359"/>
      <c r="R128" s="359"/>
      <c r="S128" s="359"/>
      <c r="T128" s="359"/>
      <c r="U128" s="359"/>
      <c r="V128" s="359"/>
      <c r="W128" s="359"/>
      <c r="X128" s="359"/>
      <c r="Y128" s="359"/>
      <c r="Z128" s="359"/>
      <c r="AA128" s="359"/>
      <c r="AB128" s="359"/>
      <c r="AC128" s="359"/>
      <c r="AD128" s="360"/>
      <c r="AE128" s="84">
        <f t="shared" si="2"/>
        <v>2.4215439295408831E-2</v>
      </c>
      <c r="AF128" s="225">
        <f>'VI. Insumos Diversos'!I100</f>
        <v>82.666666666666671</v>
      </c>
    </row>
    <row r="129" spans="2:34" ht="25.5" customHeight="1">
      <c r="B129" s="468" t="s">
        <v>402</v>
      </c>
      <c r="C129" s="284"/>
      <c r="D129" s="284"/>
      <c r="E129" s="419" t="s">
        <v>233</v>
      </c>
      <c r="F129" s="419"/>
      <c r="G129" s="419"/>
      <c r="H129" s="469" t="s">
        <v>260</v>
      </c>
      <c r="I129" s="469"/>
      <c r="J129" s="469"/>
      <c r="K129" s="469"/>
      <c r="L129" s="469"/>
      <c r="M129" s="469"/>
      <c r="N129" s="469"/>
      <c r="O129" s="469"/>
      <c r="P129" s="469"/>
      <c r="Q129" s="469"/>
      <c r="R129" s="469"/>
      <c r="S129" s="469"/>
      <c r="T129" s="469"/>
      <c r="U129" s="469"/>
      <c r="V129" s="469"/>
      <c r="W129" s="469"/>
      <c r="X129" s="469"/>
      <c r="Y129" s="469"/>
      <c r="Z129" s="469"/>
      <c r="AA129" s="469"/>
      <c r="AB129" s="469"/>
      <c r="AC129" s="469"/>
      <c r="AD129" s="469"/>
      <c r="AE129" s="84">
        <f t="shared" si="2"/>
        <v>0</v>
      </c>
      <c r="AF129" s="226"/>
    </row>
    <row r="130" spans="2:34" ht="18" customHeight="1" thickBot="1">
      <c r="B130" s="221" t="s">
        <v>62</v>
      </c>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3">
        <f>AE166</f>
        <v>9.2368963227683704E-2</v>
      </c>
      <c r="AF130" s="224">
        <f>SUM(AF120:AF129)</f>
        <v>315.32916666666665</v>
      </c>
    </row>
    <row r="131" spans="2:34" ht="13.5" thickBot="1">
      <c r="D131" s="1"/>
    </row>
    <row r="132" spans="2:34" ht="24" customHeight="1" thickBot="1">
      <c r="B132" s="518" t="s">
        <v>261</v>
      </c>
      <c r="C132" s="519"/>
      <c r="D132" s="519"/>
      <c r="E132" s="519"/>
      <c r="F132" s="519"/>
      <c r="G132" s="519"/>
      <c r="H132" s="519"/>
      <c r="I132" s="519"/>
      <c r="J132" s="519"/>
      <c r="K132" s="519"/>
      <c r="L132" s="519"/>
      <c r="M132" s="519"/>
      <c r="N132" s="519"/>
      <c r="O132" s="519"/>
      <c r="P132" s="519"/>
      <c r="Q132" s="519"/>
      <c r="R132" s="519"/>
      <c r="S132" s="519"/>
      <c r="T132" s="519"/>
      <c r="U132" s="519"/>
      <c r="V132" s="519"/>
      <c r="W132" s="519"/>
      <c r="X132" s="519"/>
      <c r="Y132" s="519"/>
      <c r="Z132" s="519"/>
      <c r="AA132" s="519"/>
      <c r="AB132" s="519"/>
      <c r="AC132" s="519"/>
      <c r="AD132" s="519"/>
      <c r="AE132" s="519"/>
      <c r="AF132" s="520"/>
    </row>
    <row r="133" spans="2:34" ht="13.5" thickBot="1"/>
    <row r="134" spans="2:34" ht="18" customHeight="1">
      <c r="B134" s="472">
        <v>6</v>
      </c>
      <c r="C134" s="473"/>
      <c r="D134" s="473"/>
      <c r="E134" s="474" t="s">
        <v>118</v>
      </c>
      <c r="F134" s="474"/>
      <c r="G134" s="474"/>
      <c r="H134" s="474"/>
      <c r="I134" s="474"/>
      <c r="J134" s="474"/>
      <c r="K134" s="474"/>
      <c r="L134" s="474"/>
      <c r="M134" s="474"/>
      <c r="N134" s="474"/>
      <c r="O134" s="474"/>
      <c r="P134" s="474"/>
      <c r="Q134" s="474"/>
      <c r="R134" s="474"/>
      <c r="S134" s="474"/>
      <c r="T134" s="474"/>
      <c r="U134" s="474"/>
      <c r="V134" s="474"/>
      <c r="W134" s="474"/>
      <c r="X134" s="474"/>
      <c r="Y134" s="474"/>
      <c r="Z134" s="474"/>
      <c r="AA134" s="474"/>
      <c r="AB134" s="474"/>
      <c r="AC134" s="474"/>
      <c r="AD134" s="474"/>
      <c r="AE134" s="216" t="s">
        <v>31</v>
      </c>
      <c r="AF134" s="217" t="s">
        <v>24</v>
      </c>
    </row>
    <row r="135" spans="2:34" ht="15.75" customHeight="1">
      <c r="B135" s="468" t="s">
        <v>7</v>
      </c>
      <c r="C135" s="284"/>
      <c r="D135" s="284"/>
      <c r="E135" s="324" t="s">
        <v>262</v>
      </c>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181">
        <v>0.06</v>
      </c>
      <c r="AF135" s="218">
        <f>ROUND(AF$167*AE135,2)</f>
        <v>443.56</v>
      </c>
    </row>
    <row r="136" spans="2:34" ht="15.75" customHeight="1">
      <c r="B136" s="468" t="s">
        <v>9</v>
      </c>
      <c r="C136" s="284"/>
      <c r="D136" s="284"/>
      <c r="E136" s="324" t="s">
        <v>263</v>
      </c>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182">
        <v>6.7900000000000002E-2</v>
      </c>
      <c r="AF136" s="218">
        <f>ROUND(((AF$167+AF$135)*AE136),2)</f>
        <v>532.08000000000004</v>
      </c>
      <c r="AH136" s="63"/>
    </row>
    <row r="137" spans="2:34" ht="15.75" customHeight="1">
      <c r="B137" s="501" t="s">
        <v>11</v>
      </c>
      <c r="C137" s="327"/>
      <c r="D137" s="327"/>
      <c r="E137" s="502" t="s">
        <v>120</v>
      </c>
      <c r="F137" s="502"/>
      <c r="G137" s="502"/>
      <c r="H137" s="502"/>
      <c r="I137" s="502"/>
      <c r="J137" s="502"/>
      <c r="K137" s="502"/>
      <c r="L137" s="502"/>
      <c r="M137" s="502"/>
      <c r="N137" s="502"/>
      <c r="O137" s="502"/>
      <c r="P137" s="502"/>
      <c r="Q137" s="502"/>
      <c r="R137" s="502"/>
      <c r="S137" s="502"/>
      <c r="T137" s="502"/>
      <c r="U137" s="502"/>
      <c r="V137" s="502"/>
      <c r="W137" s="502"/>
      <c r="X137" s="502"/>
      <c r="Y137" s="502"/>
      <c r="Z137" s="502"/>
      <c r="AA137" s="502"/>
      <c r="AB137" s="502"/>
      <c r="AC137" s="502"/>
      <c r="AD137" s="502"/>
      <c r="AE137" s="70">
        <f>SUM(AE138,AE148)</f>
        <v>8.6499999999999994E-2</v>
      </c>
      <c r="AF137" s="218">
        <f>SUM(AF138,AF148)</f>
        <v>792.40000000000009</v>
      </c>
    </row>
    <row r="138" spans="2:34" ht="15.75" customHeight="1">
      <c r="B138" s="501"/>
      <c r="C138" s="327"/>
      <c r="D138" s="327"/>
      <c r="E138" s="503" t="s">
        <v>264</v>
      </c>
      <c r="F138" s="503"/>
      <c r="G138" s="503"/>
      <c r="H138" s="503"/>
      <c r="I138" s="503"/>
      <c r="J138" s="503"/>
      <c r="K138" s="503"/>
      <c r="L138" s="503"/>
      <c r="M138" s="503"/>
      <c r="N138" s="503"/>
      <c r="O138" s="503"/>
      <c r="P138" s="503"/>
      <c r="Q138" s="503"/>
      <c r="R138" s="503"/>
      <c r="S138" s="503"/>
      <c r="T138" s="503"/>
      <c r="U138" s="503"/>
      <c r="V138" s="503"/>
      <c r="W138" s="503"/>
      <c r="X138" s="503"/>
      <c r="Y138" s="503"/>
      <c r="Z138" s="503"/>
      <c r="AA138" s="503"/>
      <c r="AB138" s="503"/>
      <c r="AC138" s="503"/>
      <c r="AD138" s="503"/>
      <c r="AE138" s="183">
        <f>SUM(AE139:AE142)</f>
        <v>3.6499999999999998E-2</v>
      </c>
      <c r="AF138" s="219">
        <f>SUM(AF139:AF142)</f>
        <v>334.36</v>
      </c>
    </row>
    <row r="139" spans="2:34" ht="15.75" customHeight="1">
      <c r="B139" s="501"/>
      <c r="C139" s="327"/>
      <c r="D139" s="327"/>
      <c r="E139" s="481" t="s">
        <v>265</v>
      </c>
      <c r="F139" s="481"/>
      <c r="G139" s="481"/>
      <c r="H139" s="481"/>
      <c r="I139" s="481"/>
      <c r="J139" s="481"/>
      <c r="K139" s="481"/>
      <c r="L139" s="481"/>
      <c r="M139" s="481"/>
      <c r="N139" s="481"/>
      <c r="O139" s="481"/>
      <c r="P139" s="481"/>
      <c r="Q139" s="481"/>
      <c r="R139" s="481"/>
      <c r="S139" s="481"/>
      <c r="T139" s="481"/>
      <c r="U139" s="481"/>
      <c r="V139" s="481"/>
      <c r="W139" s="481"/>
      <c r="X139" s="481"/>
      <c r="Y139" s="481"/>
      <c r="Z139" s="481"/>
      <c r="AA139" s="481"/>
      <c r="AB139" s="481"/>
      <c r="AC139" s="481"/>
      <c r="AD139" s="481"/>
      <c r="AE139" s="76">
        <f>IF($J$7=1,0.0044,IF($J$7=2,0.0165,IF($J$7=3,0.0065,0)))</f>
        <v>6.4999999999999997E-3</v>
      </c>
      <c r="AF139" s="212">
        <f>ROUND(AF$180*AE139,2)</f>
        <v>59.54</v>
      </c>
    </row>
    <row r="140" spans="2:34" ht="15.75" customHeight="1">
      <c r="B140" s="501"/>
      <c r="C140" s="327"/>
      <c r="D140" s="327"/>
      <c r="E140" s="481" t="s">
        <v>266</v>
      </c>
      <c r="F140" s="481"/>
      <c r="G140" s="481"/>
      <c r="H140" s="481"/>
      <c r="I140" s="481"/>
      <c r="J140" s="481"/>
      <c r="K140" s="481"/>
      <c r="L140" s="481"/>
      <c r="M140" s="481"/>
      <c r="N140" s="481"/>
      <c r="O140" s="481"/>
      <c r="P140" s="481"/>
      <c r="Q140" s="481"/>
      <c r="R140" s="481"/>
      <c r="S140" s="481"/>
      <c r="T140" s="481"/>
      <c r="U140" s="481"/>
      <c r="V140" s="481"/>
      <c r="W140" s="481"/>
      <c r="X140" s="481"/>
      <c r="Y140" s="481"/>
      <c r="Z140" s="481"/>
      <c r="AA140" s="481"/>
      <c r="AB140" s="481"/>
      <c r="AC140" s="481"/>
      <c r="AD140" s="481"/>
      <c r="AE140" s="76">
        <f>IF($J$7=1,0.0235,IF($J$7=2,0.076,IF($J$7=3,0.03,0)))</f>
        <v>0.03</v>
      </c>
      <c r="AF140" s="212">
        <f>ROUND(AF$180*AE140,2)</f>
        <v>274.82</v>
      </c>
    </row>
    <row r="141" spans="2:34" ht="15.75" customHeight="1">
      <c r="B141" s="501"/>
      <c r="C141" s="327"/>
      <c r="D141" s="327"/>
      <c r="E141" s="66" t="s">
        <v>267</v>
      </c>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128"/>
      <c r="AE141" s="76">
        <f>IF(AE54&gt;0,0,IF(AD141="",0.045,AD141))</f>
        <v>0</v>
      </c>
      <c r="AF141" s="220">
        <f>ROUND(AF$180*AE141,2)</f>
        <v>0</v>
      </c>
    </row>
    <row r="142" spans="2:34">
      <c r="B142" s="501"/>
      <c r="C142" s="327"/>
      <c r="D142" s="327"/>
      <c r="E142" s="481" t="s">
        <v>268</v>
      </c>
      <c r="F142" s="481"/>
      <c r="G142" s="481"/>
      <c r="H142" s="481"/>
      <c r="I142" s="481"/>
      <c r="J142" s="481"/>
      <c r="K142" s="481"/>
      <c r="L142" s="481"/>
      <c r="M142" s="481"/>
      <c r="N142" s="481"/>
      <c r="O142" s="481"/>
      <c r="P142" s="481"/>
      <c r="Q142" s="481"/>
      <c r="R142" s="481"/>
      <c r="S142" s="481"/>
      <c r="T142" s="481"/>
      <c r="U142" s="481"/>
      <c r="V142" s="481"/>
      <c r="W142" s="481"/>
      <c r="X142" s="481"/>
      <c r="Y142" s="481"/>
      <c r="Z142" s="481"/>
      <c r="AA142" s="481"/>
      <c r="AB142" s="481"/>
      <c r="AC142" s="481"/>
      <c r="AD142" s="481"/>
      <c r="AE142" s="76"/>
      <c r="AF142" s="220"/>
    </row>
    <row r="143" spans="2:34" ht="15.75" customHeight="1">
      <c r="B143" s="501"/>
      <c r="C143" s="327"/>
      <c r="D143" s="327"/>
      <c r="E143" s="503" t="s">
        <v>269</v>
      </c>
      <c r="F143" s="503"/>
      <c r="G143" s="503"/>
      <c r="H143" s="503"/>
      <c r="I143" s="503"/>
      <c r="J143" s="503"/>
      <c r="K143" s="503"/>
      <c r="L143" s="503"/>
      <c r="M143" s="503"/>
      <c r="N143" s="503"/>
      <c r="O143" s="503"/>
      <c r="P143" s="503"/>
      <c r="Q143" s="503"/>
      <c r="R143" s="503"/>
      <c r="S143" s="503"/>
      <c r="T143" s="503"/>
      <c r="U143" s="503"/>
      <c r="V143" s="503"/>
      <c r="W143" s="503"/>
      <c r="X143" s="503"/>
      <c r="Y143" s="503"/>
      <c r="Z143" s="503"/>
      <c r="AA143" s="503"/>
      <c r="AB143" s="503"/>
      <c r="AC143" s="503"/>
      <c r="AD143" s="503"/>
      <c r="AE143" s="70" t="s">
        <v>270</v>
      </c>
      <c r="AF143" s="218">
        <v>0</v>
      </c>
    </row>
    <row r="144" spans="2:34">
      <c r="B144" s="501"/>
      <c r="C144" s="327"/>
      <c r="D144" s="327"/>
      <c r="E144" s="481" t="s">
        <v>271</v>
      </c>
      <c r="F144" s="481"/>
      <c r="G144" s="481"/>
      <c r="H144" s="481"/>
      <c r="I144" s="481"/>
      <c r="J144" s="481"/>
      <c r="K144" s="481"/>
      <c r="L144" s="481"/>
      <c r="M144" s="481"/>
      <c r="N144" s="481"/>
      <c r="O144" s="481"/>
      <c r="P144" s="481"/>
      <c r="Q144" s="481"/>
      <c r="R144" s="481"/>
      <c r="S144" s="481"/>
      <c r="T144" s="481"/>
      <c r="U144" s="481"/>
      <c r="V144" s="481"/>
      <c r="W144" s="481"/>
      <c r="X144" s="481"/>
      <c r="Y144" s="481"/>
      <c r="Z144" s="481"/>
      <c r="AA144" s="481"/>
      <c r="AB144" s="481"/>
      <c r="AC144" s="481"/>
      <c r="AD144" s="481"/>
      <c r="AE144" s="76"/>
      <c r="AF144" s="220"/>
    </row>
    <row r="145" spans="2:32">
      <c r="B145" s="501"/>
      <c r="C145" s="327"/>
      <c r="D145" s="327"/>
      <c r="E145" s="481" t="s">
        <v>272</v>
      </c>
      <c r="F145" s="481"/>
      <c r="G145" s="481"/>
      <c r="H145" s="481"/>
      <c r="I145" s="481"/>
      <c r="J145" s="481"/>
      <c r="K145" s="481"/>
      <c r="L145" s="481"/>
      <c r="M145" s="481"/>
      <c r="N145" s="481"/>
      <c r="O145" s="481"/>
      <c r="P145" s="481"/>
      <c r="Q145" s="481"/>
      <c r="R145" s="481"/>
      <c r="S145" s="481"/>
      <c r="T145" s="481"/>
      <c r="U145" s="481"/>
      <c r="V145" s="481"/>
      <c r="W145" s="481"/>
      <c r="X145" s="481"/>
      <c r="Y145" s="481"/>
      <c r="Z145" s="481"/>
      <c r="AA145" s="481"/>
      <c r="AB145" s="481"/>
      <c r="AC145" s="481"/>
      <c r="AD145" s="481"/>
      <c r="AE145" s="76"/>
      <c r="AF145" s="220"/>
    </row>
    <row r="146" spans="2:32">
      <c r="B146" s="501"/>
      <c r="C146" s="327"/>
      <c r="D146" s="327"/>
      <c r="E146" s="481" t="s">
        <v>273</v>
      </c>
      <c r="F146" s="481"/>
      <c r="G146" s="481"/>
      <c r="H146" s="481"/>
      <c r="I146" s="481"/>
      <c r="J146" s="481"/>
      <c r="K146" s="481"/>
      <c r="L146" s="481"/>
      <c r="M146" s="481"/>
      <c r="N146" s="481"/>
      <c r="O146" s="481"/>
      <c r="P146" s="481"/>
      <c r="Q146" s="481"/>
      <c r="R146" s="481"/>
      <c r="S146" s="481"/>
      <c r="T146" s="481"/>
      <c r="U146" s="481"/>
      <c r="V146" s="481"/>
      <c r="W146" s="481"/>
      <c r="X146" s="481"/>
      <c r="Y146" s="481"/>
      <c r="Z146" s="481"/>
      <c r="AA146" s="481"/>
      <c r="AB146" s="481"/>
      <c r="AC146" s="481"/>
      <c r="AD146" s="481"/>
      <c r="AE146" s="76"/>
      <c r="AF146" s="220"/>
    </row>
    <row r="147" spans="2:32">
      <c r="B147" s="501"/>
      <c r="C147" s="327"/>
      <c r="D147" s="327"/>
      <c r="E147" s="481" t="s">
        <v>274</v>
      </c>
      <c r="F147" s="481"/>
      <c r="G147" s="481"/>
      <c r="H147" s="481"/>
      <c r="I147" s="481"/>
      <c r="J147" s="481"/>
      <c r="K147" s="481"/>
      <c r="L147" s="481"/>
      <c r="M147" s="481"/>
      <c r="N147" s="481"/>
      <c r="O147" s="481"/>
      <c r="P147" s="481"/>
      <c r="Q147" s="481"/>
      <c r="R147" s="481"/>
      <c r="S147" s="481"/>
      <c r="T147" s="481"/>
      <c r="U147" s="481"/>
      <c r="V147" s="481"/>
      <c r="W147" s="481"/>
      <c r="X147" s="481"/>
      <c r="Y147" s="481"/>
      <c r="Z147" s="481"/>
      <c r="AA147" s="481"/>
      <c r="AB147" s="481"/>
      <c r="AC147" s="481"/>
      <c r="AD147" s="481"/>
      <c r="AE147" s="76"/>
      <c r="AF147" s="220"/>
    </row>
    <row r="148" spans="2:32" ht="15.75" customHeight="1">
      <c r="B148" s="501"/>
      <c r="C148" s="327"/>
      <c r="D148" s="327"/>
      <c r="E148" s="503" t="s">
        <v>275</v>
      </c>
      <c r="F148" s="503"/>
      <c r="G148" s="503"/>
      <c r="H148" s="503"/>
      <c r="I148" s="503"/>
      <c r="J148" s="503"/>
      <c r="K148" s="503"/>
      <c r="L148" s="503"/>
      <c r="M148" s="503"/>
      <c r="N148" s="503"/>
      <c r="O148" s="503"/>
      <c r="P148" s="503"/>
      <c r="Q148" s="503"/>
      <c r="R148" s="503"/>
      <c r="S148" s="503"/>
      <c r="T148" s="503"/>
      <c r="U148" s="503"/>
      <c r="V148" s="503"/>
      <c r="W148" s="503"/>
      <c r="X148" s="503"/>
      <c r="Y148" s="503"/>
      <c r="Z148" s="503"/>
      <c r="AA148" s="503"/>
      <c r="AB148" s="503"/>
      <c r="AC148" s="503"/>
      <c r="AD148" s="503"/>
      <c r="AE148" s="183">
        <f>SUM(AE149)</f>
        <v>0.05</v>
      </c>
      <c r="AF148" s="219">
        <f>SUM(AF149:AF152)</f>
        <v>458.04</v>
      </c>
    </row>
    <row r="149" spans="2:32" ht="15.75" customHeight="1">
      <c r="B149" s="501"/>
      <c r="C149" s="327"/>
      <c r="D149" s="327"/>
      <c r="E149" s="295" t="s">
        <v>276</v>
      </c>
      <c r="F149" s="295"/>
      <c r="G149" s="295"/>
      <c r="H149" s="295"/>
      <c r="I149" s="295"/>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184">
        <v>0.05</v>
      </c>
      <c r="AF149" s="212">
        <f>ROUND(AF$180*AE149,2)</f>
        <v>458.04</v>
      </c>
    </row>
    <row r="150" spans="2:32" ht="12.75" customHeight="1">
      <c r="B150" s="501"/>
      <c r="C150" s="327"/>
      <c r="D150" s="327"/>
      <c r="E150" s="295" t="s">
        <v>133</v>
      </c>
      <c r="F150" s="295"/>
      <c r="G150" s="295"/>
      <c r="H150" s="295"/>
      <c r="I150" s="295"/>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185"/>
      <c r="AF150" s="220"/>
    </row>
    <row r="151" spans="2:32" ht="12.75" customHeight="1">
      <c r="B151" s="501"/>
      <c r="C151" s="327"/>
      <c r="D151" s="327"/>
      <c r="E151" s="295" t="s">
        <v>134</v>
      </c>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185"/>
      <c r="AF151" s="220"/>
    </row>
    <row r="152" spans="2:32" ht="12.75" customHeight="1">
      <c r="B152" s="501"/>
      <c r="C152" s="327"/>
      <c r="D152" s="327"/>
      <c r="E152" s="295" t="s">
        <v>135</v>
      </c>
      <c r="F152" s="295"/>
      <c r="G152" s="295"/>
      <c r="H152" s="295"/>
      <c r="I152" s="295"/>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185"/>
      <c r="AF152" s="220"/>
    </row>
    <row r="153" spans="2:32" ht="12.75" customHeight="1">
      <c r="B153" s="501"/>
      <c r="C153" s="327"/>
      <c r="D153" s="327"/>
      <c r="E153" s="330" t="s">
        <v>136</v>
      </c>
      <c r="F153" s="330"/>
      <c r="G153" s="330"/>
      <c r="H153" s="330"/>
      <c r="I153" s="330"/>
      <c r="J153" s="330"/>
      <c r="K153" s="330"/>
      <c r="L153" s="330"/>
      <c r="M153" s="330"/>
      <c r="N153" s="330"/>
      <c r="O153" s="330"/>
      <c r="P153" s="330"/>
      <c r="Q153" s="330"/>
      <c r="R153" s="330"/>
      <c r="S153" s="330"/>
      <c r="T153" s="330"/>
      <c r="U153" s="330"/>
      <c r="V153" s="330"/>
      <c r="W153" s="330"/>
      <c r="X153" s="330"/>
      <c r="Y153" s="330"/>
      <c r="Z153" s="330"/>
      <c r="AA153" s="330"/>
      <c r="AB153" s="330"/>
      <c r="AC153" s="330"/>
      <c r="AD153" s="330"/>
      <c r="AE153" s="185"/>
      <c r="AF153" s="220"/>
    </row>
    <row r="154" spans="2:32" ht="12.75" customHeight="1">
      <c r="B154" s="501"/>
      <c r="C154" s="327"/>
      <c r="D154" s="327"/>
      <c r="E154" s="295" t="s">
        <v>137</v>
      </c>
      <c r="F154" s="295"/>
      <c r="G154" s="295"/>
      <c r="H154" s="295"/>
      <c r="I154" s="295"/>
      <c r="J154" s="295"/>
      <c r="K154" s="295"/>
      <c r="L154" s="295"/>
      <c r="M154" s="295"/>
      <c r="N154" s="295"/>
      <c r="O154" s="295"/>
      <c r="P154" s="295"/>
      <c r="Q154" s="295"/>
      <c r="R154" s="295"/>
      <c r="S154" s="295"/>
      <c r="T154" s="295"/>
      <c r="U154" s="295"/>
      <c r="V154" s="295"/>
      <c r="W154" s="295"/>
      <c r="X154" s="295"/>
      <c r="Y154" s="295"/>
      <c r="Z154" s="295"/>
      <c r="AA154" s="295"/>
      <c r="AB154" s="295"/>
      <c r="AC154" s="295"/>
      <c r="AD154" s="295"/>
      <c r="AE154" s="185"/>
      <c r="AF154" s="220"/>
    </row>
    <row r="155" spans="2:32" ht="12.75" customHeight="1">
      <c r="B155" s="501"/>
      <c r="C155" s="327"/>
      <c r="D155" s="327"/>
      <c r="E155" s="295" t="s">
        <v>138</v>
      </c>
      <c r="F155" s="295"/>
      <c r="G155" s="295"/>
      <c r="H155" s="295"/>
      <c r="I155" s="295"/>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185"/>
      <c r="AF155" s="220"/>
    </row>
    <row r="156" spans="2:32" ht="12.75" customHeight="1">
      <c r="B156" s="501"/>
      <c r="C156" s="327"/>
      <c r="D156" s="327"/>
      <c r="E156" s="295" t="s">
        <v>139</v>
      </c>
      <c r="F156" s="295"/>
      <c r="G156" s="295"/>
      <c r="H156" s="295"/>
      <c r="I156" s="295"/>
      <c r="J156" s="295"/>
      <c r="K156" s="295"/>
      <c r="L156" s="295"/>
      <c r="M156" s="295"/>
      <c r="N156" s="295"/>
      <c r="O156" s="295"/>
      <c r="P156" s="295"/>
      <c r="Q156" s="295"/>
      <c r="R156" s="295"/>
      <c r="S156" s="295"/>
      <c r="T156" s="295"/>
      <c r="U156" s="295"/>
      <c r="V156" s="295"/>
      <c r="W156" s="295"/>
      <c r="X156" s="295"/>
      <c r="Y156" s="295"/>
      <c r="Z156" s="295"/>
      <c r="AA156" s="295"/>
      <c r="AB156" s="295"/>
      <c r="AC156" s="295"/>
      <c r="AD156" s="295"/>
      <c r="AE156" s="185"/>
      <c r="AF156" s="220"/>
    </row>
    <row r="157" spans="2:32">
      <c r="B157" s="501"/>
      <c r="C157" s="327"/>
      <c r="D157" s="327"/>
      <c r="E157" s="295" t="s">
        <v>140</v>
      </c>
      <c r="F157" s="295"/>
      <c r="G157" s="295"/>
      <c r="H157" s="295"/>
      <c r="I157" s="295"/>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185"/>
      <c r="AF157" s="220"/>
    </row>
    <row r="158" spans="2:32" ht="18" customHeight="1" thickBot="1">
      <c r="B158" s="221" t="s">
        <v>142</v>
      </c>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3">
        <f>IF(AF$42=0,"",AF158/AF$42)</f>
        <v>0.51790966078856404</v>
      </c>
      <c r="AF158" s="224">
        <f>SUM(AF136,AF137,AF135)</f>
        <v>1768.04</v>
      </c>
    </row>
    <row r="159" spans="2:32" ht="12.75" customHeight="1" thickBot="1">
      <c r="D159" s="1"/>
    </row>
    <row r="160" spans="2:32" ht="21" customHeight="1">
      <c r="B160" s="521" t="s">
        <v>277</v>
      </c>
      <c r="C160" s="522"/>
      <c r="D160" s="522"/>
      <c r="E160" s="522"/>
      <c r="F160" s="522"/>
      <c r="G160" s="522"/>
      <c r="H160" s="522"/>
      <c r="I160" s="522"/>
      <c r="J160" s="522"/>
      <c r="K160" s="522"/>
      <c r="L160" s="522"/>
      <c r="M160" s="522"/>
      <c r="N160" s="522"/>
      <c r="O160" s="522"/>
      <c r="P160" s="522"/>
      <c r="Q160" s="522"/>
      <c r="R160" s="522"/>
      <c r="S160" s="522"/>
      <c r="T160" s="522"/>
      <c r="U160" s="522"/>
      <c r="V160" s="522"/>
      <c r="W160" s="522"/>
      <c r="X160" s="522"/>
      <c r="Y160" s="522"/>
      <c r="Z160" s="522"/>
      <c r="AA160" s="522"/>
      <c r="AB160" s="522"/>
      <c r="AC160" s="522"/>
      <c r="AD160" s="522"/>
      <c r="AE160" s="522"/>
      <c r="AF160" s="523"/>
    </row>
    <row r="161" spans="2:34" ht="18.75" customHeight="1">
      <c r="B161" s="499" t="s">
        <v>144</v>
      </c>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101" t="s">
        <v>31</v>
      </c>
      <c r="AF161" s="211" t="s">
        <v>24</v>
      </c>
    </row>
    <row r="162" spans="2:34" ht="18.75" customHeight="1">
      <c r="B162" s="468" t="s">
        <v>7</v>
      </c>
      <c r="C162" s="284"/>
      <c r="D162" s="284"/>
      <c r="E162" s="295" t="s">
        <v>145</v>
      </c>
      <c r="F162" s="295"/>
      <c r="G162" s="295"/>
      <c r="H162" s="295"/>
      <c r="I162" s="295"/>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76">
        <f>IF(AF$42=0,"",AF162/AF$42)</f>
        <v>1</v>
      </c>
      <c r="AF162" s="212">
        <f>AF42</f>
        <v>3413.8</v>
      </c>
    </row>
    <row r="163" spans="2:34" ht="18.75" customHeight="1">
      <c r="B163" s="468" t="s">
        <v>9</v>
      </c>
      <c r="C163" s="284"/>
      <c r="D163" s="284"/>
      <c r="E163" s="295" t="s">
        <v>278</v>
      </c>
      <c r="F163" s="295"/>
      <c r="G163" s="295"/>
      <c r="H163" s="295"/>
      <c r="I163" s="295"/>
      <c r="J163" s="295"/>
      <c r="K163" s="295"/>
      <c r="L163" s="295"/>
      <c r="M163" s="295"/>
      <c r="N163" s="295"/>
      <c r="O163" s="295"/>
      <c r="P163" s="295"/>
      <c r="Q163" s="295"/>
      <c r="R163" s="295"/>
      <c r="S163" s="295"/>
      <c r="T163" s="295"/>
      <c r="U163" s="295"/>
      <c r="V163" s="295"/>
      <c r="W163" s="295"/>
      <c r="X163" s="295"/>
      <c r="Y163" s="295"/>
      <c r="Z163" s="295"/>
      <c r="AA163" s="295"/>
      <c r="AB163" s="295"/>
      <c r="AC163" s="295"/>
      <c r="AD163" s="295"/>
      <c r="AE163" s="76">
        <f>IF(AF$42=0,"",AF163/AF$42)</f>
        <v>0.96068018044407988</v>
      </c>
      <c r="AF163" s="212">
        <f>AF82</f>
        <v>3279.57</v>
      </c>
    </row>
    <row r="164" spans="2:34" ht="18.75" customHeight="1">
      <c r="B164" s="468" t="s">
        <v>11</v>
      </c>
      <c r="C164" s="284"/>
      <c r="D164" s="284"/>
      <c r="E164" s="295" t="s">
        <v>279</v>
      </c>
      <c r="F164" s="295"/>
      <c r="G164" s="295"/>
      <c r="H164" s="295"/>
      <c r="I164" s="295"/>
      <c r="J164" s="295"/>
      <c r="K164" s="295"/>
      <c r="L164" s="295"/>
      <c r="M164" s="295"/>
      <c r="N164" s="295"/>
      <c r="O164" s="295"/>
      <c r="P164" s="295"/>
      <c r="Q164" s="295"/>
      <c r="R164" s="295"/>
      <c r="S164" s="295"/>
      <c r="T164" s="295"/>
      <c r="U164" s="295"/>
      <c r="V164" s="295"/>
      <c r="W164" s="295"/>
      <c r="X164" s="295"/>
      <c r="Y164" s="295"/>
      <c r="Z164" s="295"/>
      <c r="AA164" s="295"/>
      <c r="AB164" s="295"/>
      <c r="AC164" s="295"/>
      <c r="AD164" s="295"/>
      <c r="AE164" s="76">
        <f>IF(AF$42=0,"",AF164/AF$42)</f>
        <v>7.1099654344132637E-2</v>
      </c>
      <c r="AF164" s="212">
        <f>AF93</f>
        <v>242.72</v>
      </c>
    </row>
    <row r="165" spans="2:34" ht="18.75" customHeight="1">
      <c r="B165" s="468" t="s">
        <v>13</v>
      </c>
      <c r="C165" s="284"/>
      <c r="D165" s="284"/>
      <c r="E165" s="295" t="s">
        <v>280</v>
      </c>
      <c r="F165" s="295"/>
      <c r="G165" s="295"/>
      <c r="H165" s="295"/>
      <c r="I165" s="295"/>
      <c r="J165" s="295"/>
      <c r="K165" s="295"/>
      <c r="L165" s="295"/>
      <c r="M165" s="295"/>
      <c r="N165" s="295"/>
      <c r="O165" s="295"/>
      <c r="P165" s="295"/>
      <c r="Q165" s="295"/>
      <c r="R165" s="295"/>
      <c r="S165" s="295"/>
      <c r="T165" s="295"/>
      <c r="U165" s="295"/>
      <c r="V165" s="295"/>
      <c r="W165" s="295"/>
      <c r="X165" s="295"/>
      <c r="Y165" s="295"/>
      <c r="Z165" s="295"/>
      <c r="AA165" s="295"/>
      <c r="AB165" s="295"/>
      <c r="AC165" s="295"/>
      <c r="AD165" s="295"/>
      <c r="AE165" s="76">
        <f>IF(AF$42=0,"",AF165/AF$42)</f>
        <v>4.1388791245988502E-2</v>
      </c>
      <c r="AF165" s="212">
        <f>AF115</f>
        <v>141.29305555555555</v>
      </c>
    </row>
    <row r="166" spans="2:34" ht="18.75" customHeight="1">
      <c r="B166" s="468" t="s">
        <v>37</v>
      </c>
      <c r="C166" s="284"/>
      <c r="D166" s="284"/>
      <c r="E166" s="295" t="s">
        <v>281</v>
      </c>
      <c r="F166" s="295"/>
      <c r="G166" s="295"/>
      <c r="H166" s="295"/>
      <c r="I166" s="295"/>
      <c r="J166" s="295"/>
      <c r="K166" s="295"/>
      <c r="L166" s="295"/>
      <c r="M166" s="295"/>
      <c r="N166" s="295"/>
      <c r="O166" s="295"/>
      <c r="P166" s="295"/>
      <c r="Q166" s="295"/>
      <c r="R166" s="295"/>
      <c r="S166" s="295"/>
      <c r="T166" s="295"/>
      <c r="U166" s="295"/>
      <c r="V166" s="295"/>
      <c r="W166" s="295"/>
      <c r="X166" s="295"/>
      <c r="Y166" s="295"/>
      <c r="Z166" s="295"/>
      <c r="AA166" s="295"/>
      <c r="AB166" s="295"/>
      <c r="AC166" s="295"/>
      <c r="AD166" s="295"/>
      <c r="AE166" s="76">
        <f>IF(AF$42=0,"",AF166/AF$42)</f>
        <v>9.2368963227683704E-2</v>
      </c>
      <c r="AF166" s="212">
        <f>AF130</f>
        <v>315.32916666666665</v>
      </c>
    </row>
    <row r="167" spans="2:34" ht="18.75" customHeight="1">
      <c r="B167" s="504" t="s">
        <v>282</v>
      </c>
      <c r="C167" s="323"/>
      <c r="D167" s="323"/>
      <c r="E167" s="323"/>
      <c r="F167" s="323"/>
      <c r="G167" s="323"/>
      <c r="H167" s="323"/>
      <c r="I167" s="323"/>
      <c r="J167" s="323"/>
      <c r="K167" s="323"/>
      <c r="L167" s="323"/>
      <c r="M167" s="323"/>
      <c r="N167" s="323"/>
      <c r="O167" s="323"/>
      <c r="P167" s="323"/>
      <c r="Q167" s="323"/>
      <c r="R167" s="323"/>
      <c r="S167" s="323"/>
      <c r="T167" s="323"/>
      <c r="U167" s="323"/>
      <c r="V167" s="323"/>
      <c r="W167" s="323"/>
      <c r="X167" s="323"/>
      <c r="Y167" s="323"/>
      <c r="Z167" s="323"/>
      <c r="AA167" s="323"/>
      <c r="AB167" s="323"/>
      <c r="AC167" s="323"/>
      <c r="AD167" s="323"/>
      <c r="AE167" s="186">
        <f>SUM(AE162:AE166)</f>
        <v>2.1655375892618851</v>
      </c>
      <c r="AF167" s="213">
        <f>SUM(AF162:AF166)</f>
        <v>7392.7122222222233</v>
      </c>
    </row>
    <row r="168" spans="2:34" ht="18.75" customHeight="1">
      <c r="B168" s="468" t="s">
        <v>39</v>
      </c>
      <c r="C168" s="284"/>
      <c r="D168" s="284"/>
      <c r="E168" s="295" t="s">
        <v>283</v>
      </c>
      <c r="F168" s="295"/>
      <c r="G168" s="295"/>
      <c r="H168" s="295"/>
      <c r="I168" s="295"/>
      <c r="J168" s="295"/>
      <c r="K168" s="295"/>
      <c r="L168" s="295"/>
      <c r="M168" s="295"/>
      <c r="N168" s="295"/>
      <c r="O168" s="295"/>
      <c r="P168" s="295"/>
      <c r="Q168" s="295"/>
      <c r="R168" s="295"/>
      <c r="S168" s="295"/>
      <c r="T168" s="295"/>
      <c r="U168" s="295"/>
      <c r="V168" s="295"/>
      <c r="W168" s="295"/>
      <c r="X168" s="295"/>
      <c r="Y168" s="295"/>
      <c r="Z168" s="295"/>
      <c r="AA168" s="295"/>
      <c r="AB168" s="295"/>
      <c r="AC168" s="295"/>
      <c r="AD168" s="295"/>
      <c r="AE168" s="76">
        <f>IF(AF$42=0,"",AF168/AF$42)</f>
        <v>0.51790966078856404</v>
      </c>
      <c r="AF168" s="212">
        <f>AF158</f>
        <v>1768.04</v>
      </c>
    </row>
    <row r="169" spans="2:34" ht="18.75" customHeight="1" thickBot="1">
      <c r="B169" s="505" t="s">
        <v>284</v>
      </c>
      <c r="C169" s="506"/>
      <c r="D169" s="506"/>
      <c r="E169" s="506"/>
      <c r="F169" s="506"/>
      <c r="G169" s="506"/>
      <c r="H169" s="506"/>
      <c r="I169" s="506"/>
      <c r="J169" s="506"/>
      <c r="K169" s="506"/>
      <c r="L169" s="506"/>
      <c r="M169" s="506"/>
      <c r="N169" s="506"/>
      <c r="O169" s="506"/>
      <c r="P169" s="506"/>
      <c r="Q169" s="506"/>
      <c r="R169" s="506"/>
      <c r="S169" s="506"/>
      <c r="T169" s="506"/>
      <c r="U169" s="506"/>
      <c r="V169" s="506"/>
      <c r="W169" s="506"/>
      <c r="X169" s="506"/>
      <c r="Y169" s="506"/>
      <c r="Z169" s="506"/>
      <c r="AA169" s="506"/>
      <c r="AB169" s="506"/>
      <c r="AC169" s="506"/>
      <c r="AD169" s="506"/>
      <c r="AE169" s="214">
        <f>SUM(AE164:AE168)</f>
        <v>2.8883046588682539</v>
      </c>
      <c r="AF169" s="215">
        <f>AF167+AF168</f>
        <v>9160.7522222222233</v>
      </c>
    </row>
    <row r="170" spans="2:34" ht="13.5" thickBot="1">
      <c r="D170" s="1"/>
    </row>
    <row r="171" spans="2:34" ht="18.75" customHeight="1">
      <c r="B171" s="189" t="s">
        <v>285</v>
      </c>
      <c r="C171" s="190"/>
      <c r="D171" s="190"/>
      <c r="E171" s="190"/>
      <c r="F171" s="190"/>
      <c r="G171" s="190"/>
      <c r="H171" s="190"/>
      <c r="I171" s="190"/>
      <c r="J171" s="190"/>
      <c r="K171" s="190"/>
      <c r="L171" s="190"/>
      <c r="M171" s="190"/>
      <c r="N171" s="190"/>
      <c r="O171" s="190"/>
      <c r="P171" s="190"/>
      <c r="Q171" s="190"/>
      <c r="R171" s="190"/>
      <c r="S171" s="190"/>
      <c r="T171" s="190"/>
      <c r="U171" s="190"/>
      <c r="V171" s="190"/>
      <c r="W171" s="190"/>
      <c r="X171" s="190"/>
      <c r="Y171" s="190"/>
      <c r="Z171" s="190"/>
      <c r="AA171" s="190"/>
      <c r="AB171" s="190"/>
      <c r="AC171" s="190"/>
      <c r="AD171" s="190"/>
      <c r="AE171" s="191"/>
      <c r="AF171" s="192">
        <f>AF169</f>
        <v>9160.7522222222233</v>
      </c>
      <c r="AH171" s="62"/>
    </row>
    <row r="172" spans="2:34" ht="18.75" customHeight="1">
      <c r="B172" s="193" t="str">
        <f>"Valor por posto de trabalho (cada posto contém "&amp;AE172&amp;" empregado(s))"</f>
        <v>Valor por posto de trabalho (cada posto contém 2 empregado(s))</v>
      </c>
      <c r="C172" s="178"/>
      <c r="D172" s="178"/>
      <c r="E172" s="178"/>
      <c r="F172" s="178"/>
      <c r="G172" s="178"/>
      <c r="H172" s="178"/>
      <c r="I172" s="178"/>
      <c r="J172" s="178"/>
      <c r="K172" s="178"/>
      <c r="L172" s="178"/>
      <c r="M172" s="178"/>
      <c r="N172" s="178"/>
      <c r="O172" s="178"/>
      <c r="P172" s="178"/>
      <c r="Q172" s="178"/>
      <c r="R172" s="178"/>
      <c r="S172" s="178"/>
      <c r="T172" s="178"/>
      <c r="U172" s="178"/>
      <c r="V172" s="178"/>
      <c r="W172" s="178"/>
      <c r="X172" s="178"/>
      <c r="Y172" s="178"/>
      <c r="Z172" s="178"/>
      <c r="AA172" s="178"/>
      <c r="AB172" s="178"/>
      <c r="AC172" s="178"/>
      <c r="AD172" s="178"/>
      <c r="AE172" s="187">
        <f>AE18</f>
        <v>2</v>
      </c>
      <c r="AF172" s="194">
        <f>AF171*AE172</f>
        <v>18321.504444444447</v>
      </c>
      <c r="AH172" s="138"/>
    </row>
    <row r="173" spans="2:34" ht="18.75" customHeight="1">
      <c r="B173" s="193" t="s">
        <v>286</v>
      </c>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87">
        <f>AE19</f>
        <v>1</v>
      </c>
      <c r="AF173" s="194">
        <f>AF172*AE173</f>
        <v>18321.504444444447</v>
      </c>
    </row>
    <row r="174" spans="2:34" ht="18.75" customHeight="1">
      <c r="B174" s="193" t="s">
        <v>287</v>
      </c>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8"/>
      <c r="AB174" s="178"/>
      <c r="AC174" s="178"/>
      <c r="AD174" s="178"/>
      <c r="AE174" s="187"/>
      <c r="AF174" s="194">
        <f>AF173*12</f>
        <v>219858.05333333334</v>
      </c>
    </row>
    <row r="175" spans="2:34" ht="18.75" customHeight="1">
      <c r="B175" s="193" t="s">
        <v>288</v>
      </c>
      <c r="C175" s="178"/>
      <c r="D175" s="178"/>
      <c r="E175" s="178"/>
      <c r="F175" s="178"/>
      <c r="G175" s="178"/>
      <c r="H175" s="178"/>
      <c r="I175" s="178"/>
      <c r="J175" s="178"/>
      <c r="K175" s="178"/>
      <c r="L175" s="178"/>
      <c r="M175" s="178"/>
      <c r="N175" s="178"/>
      <c r="O175" s="178"/>
      <c r="P175" s="178"/>
      <c r="Q175" s="178"/>
      <c r="R175" s="178"/>
      <c r="S175" s="178"/>
      <c r="T175" s="178"/>
      <c r="U175" s="178"/>
      <c r="V175" s="178"/>
      <c r="W175" s="178"/>
      <c r="X175" s="178"/>
      <c r="Y175" s="178"/>
      <c r="Z175" s="178"/>
      <c r="AA175" s="178"/>
      <c r="AB175" s="178"/>
      <c r="AC175" s="178"/>
      <c r="AD175" s="178"/>
      <c r="AE175" s="187"/>
      <c r="AF175" s="194">
        <f>AF173*AE14</f>
        <v>549645.13333333342</v>
      </c>
    </row>
    <row r="176" spans="2:34" ht="18.75" customHeight="1">
      <c r="B176" s="507"/>
      <c r="C176" s="508"/>
      <c r="D176" s="508"/>
      <c r="E176" s="508"/>
      <c r="F176" s="508"/>
      <c r="G176" s="508"/>
      <c r="H176" s="508"/>
      <c r="I176" s="508"/>
      <c r="J176" s="508"/>
      <c r="K176" s="508"/>
      <c r="L176" s="508"/>
      <c r="M176" s="508"/>
      <c r="N176" s="508"/>
      <c r="O176" s="508"/>
      <c r="P176" s="508"/>
      <c r="Q176" s="508"/>
      <c r="R176" s="508"/>
      <c r="S176" s="508"/>
      <c r="T176" s="508"/>
      <c r="U176" s="508"/>
      <c r="V176" s="508"/>
      <c r="W176" s="508"/>
      <c r="X176" s="508"/>
      <c r="Y176" s="508"/>
      <c r="Z176" s="508"/>
      <c r="AA176" s="508"/>
      <c r="AB176" s="508"/>
      <c r="AC176" s="508"/>
      <c r="AD176" s="508"/>
      <c r="AE176" s="188"/>
      <c r="AF176" s="194">
        <f>IF(AE176=0,0,AF$169/AE176)</f>
        <v>0</v>
      </c>
    </row>
    <row r="177" spans="2:32" ht="18.75" customHeight="1" thickBot="1">
      <c r="B177" s="509"/>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c r="AA177" s="510"/>
      <c r="AB177" s="510"/>
      <c r="AC177" s="510"/>
      <c r="AD177" s="510"/>
      <c r="AE177" s="195"/>
      <c r="AF177" s="196">
        <f>IF(AE177=0,0,AF$169/AE177)</f>
        <v>0</v>
      </c>
    </row>
    <row r="178" spans="2:32" ht="13.5" thickBot="1"/>
    <row r="179" spans="2:32" ht="18.75" customHeight="1">
      <c r="B179" s="197" t="s">
        <v>289</v>
      </c>
      <c r="C179" s="198"/>
      <c r="D179" s="198"/>
      <c r="E179" s="198"/>
      <c r="F179" s="198"/>
      <c r="G179" s="198"/>
      <c r="H179" s="198"/>
      <c r="I179" s="198"/>
      <c r="J179" s="198"/>
      <c r="K179" s="198"/>
      <c r="L179" s="198"/>
      <c r="M179" s="198"/>
      <c r="N179" s="198"/>
      <c r="O179" s="198"/>
      <c r="P179" s="198"/>
      <c r="Q179" s="198"/>
      <c r="R179" s="198"/>
      <c r="S179" s="198"/>
      <c r="T179" s="198"/>
      <c r="U179" s="198"/>
      <c r="V179" s="198"/>
      <c r="W179" s="199"/>
      <c r="X179" s="198"/>
      <c r="Y179" s="198"/>
      <c r="Z179" s="198"/>
      <c r="AA179" s="198"/>
      <c r="AB179" s="198"/>
      <c r="AC179" s="198"/>
      <c r="AD179" s="198"/>
      <c r="AE179" s="200"/>
      <c r="AF179" s="201">
        <f>AF42+AF82+AF93+AF115+AF130+AF135+AF136</f>
        <v>8368.3522222222236</v>
      </c>
    </row>
    <row r="180" spans="2:32" ht="18.75" customHeight="1" thickBot="1">
      <c r="B180" s="202" t="s">
        <v>290</v>
      </c>
      <c r="C180" s="203"/>
      <c r="D180" s="203"/>
      <c r="E180" s="203"/>
      <c r="F180" s="203"/>
      <c r="G180" s="203"/>
      <c r="H180" s="203"/>
      <c r="I180" s="203"/>
      <c r="J180" s="203"/>
      <c r="K180" s="203"/>
      <c r="L180" s="203"/>
      <c r="M180" s="203"/>
      <c r="N180" s="203"/>
      <c r="O180" s="203"/>
      <c r="P180" s="203"/>
      <c r="Q180" s="203"/>
      <c r="R180" s="203"/>
      <c r="S180" s="203"/>
      <c r="T180" s="203"/>
      <c r="U180" s="203"/>
      <c r="V180" s="203"/>
      <c r="W180" s="204"/>
      <c r="X180" s="203"/>
      <c r="Y180" s="203"/>
      <c r="Z180" s="203"/>
      <c r="AA180" s="203"/>
      <c r="AB180" s="203"/>
      <c r="AC180" s="203"/>
      <c r="AD180" s="205">
        <f>J7</f>
        <v>3</v>
      </c>
      <c r="AE180" s="206" t="str">
        <f>IF(AD180=1,"Simples",IF(AD180=2,"Lucro Real",IF(AD180=3,"Lucro presumido","Informar regime")))</f>
        <v>Lucro presumido</v>
      </c>
      <c r="AF180" s="207">
        <f>TRUNC(AF179/J8,2)</f>
        <v>9160.75</v>
      </c>
    </row>
    <row r="181" spans="2:32" ht="13.5" thickBot="1">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c r="AA181" s="72"/>
      <c r="AB181" s="72"/>
      <c r="AC181" s="72"/>
      <c r="AD181" s="72"/>
      <c r="AE181" s="72"/>
      <c r="AF181" s="73"/>
    </row>
    <row r="182" spans="2:32" ht="21" customHeight="1">
      <c r="B182" s="208" t="s">
        <v>291</v>
      </c>
      <c r="C182" s="209"/>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10"/>
    </row>
    <row r="183" spans="2:32" ht="16.5" customHeight="1">
      <c r="B183" s="361" t="s">
        <v>412</v>
      </c>
      <c r="C183" s="362"/>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3"/>
    </row>
    <row r="184" spans="2:32" ht="16.5" customHeight="1">
      <c r="B184" s="364"/>
      <c r="C184" s="365"/>
      <c r="D184" s="365"/>
      <c r="E184" s="365"/>
      <c r="F184" s="365"/>
      <c r="G184" s="365"/>
      <c r="H184" s="365"/>
      <c r="I184" s="365"/>
      <c r="J184" s="365"/>
      <c r="K184" s="365"/>
      <c r="L184" s="365"/>
      <c r="M184" s="365"/>
      <c r="N184" s="365"/>
      <c r="O184" s="365"/>
      <c r="P184" s="365"/>
      <c r="Q184" s="365"/>
      <c r="R184" s="365"/>
      <c r="S184" s="365"/>
      <c r="T184" s="365"/>
      <c r="U184" s="365"/>
      <c r="V184" s="365"/>
      <c r="W184" s="365"/>
      <c r="X184" s="365"/>
      <c r="Y184" s="365"/>
      <c r="Z184" s="365"/>
      <c r="AA184" s="365"/>
      <c r="AB184" s="365"/>
      <c r="AC184" s="365"/>
      <c r="AD184" s="365"/>
      <c r="AE184" s="365"/>
      <c r="AF184" s="366"/>
    </row>
    <row r="185" spans="2:32" ht="16.5" customHeight="1" thickBot="1">
      <c r="B185" s="367"/>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9"/>
    </row>
  </sheetData>
  <sheetProtection selectLockedCells="1" selectUnlockedCells="1"/>
  <mergeCells count="243">
    <mergeCell ref="B2:AF3"/>
    <mergeCell ref="AH2:AH3"/>
    <mergeCell ref="B5:I5"/>
    <mergeCell ref="J5:AB5"/>
    <mergeCell ref="AE5:AF5"/>
    <mergeCell ref="B7:I7"/>
    <mergeCell ref="K7:Q7"/>
    <mergeCell ref="AB7:AD7"/>
    <mergeCell ref="AE7:AF7"/>
    <mergeCell ref="B12:D12"/>
    <mergeCell ref="AE12:AF12"/>
    <mergeCell ref="B13:D13"/>
    <mergeCell ref="AE13:AF13"/>
    <mergeCell ref="B14:D14"/>
    <mergeCell ref="AE14:AF14"/>
    <mergeCell ref="B8:I8"/>
    <mergeCell ref="J8:Q8"/>
    <mergeCell ref="AB8:AD8"/>
    <mergeCell ref="AE8:AF8"/>
    <mergeCell ref="B10:AF10"/>
    <mergeCell ref="B11:D11"/>
    <mergeCell ref="AE11:AF11"/>
    <mergeCell ref="X21:AD21"/>
    <mergeCell ref="AE21:AF21"/>
    <mergeCell ref="B23:AD24"/>
    <mergeCell ref="AE23:AF25"/>
    <mergeCell ref="B26:D26"/>
    <mergeCell ref="E26:AD26"/>
    <mergeCell ref="AE26:AF26"/>
    <mergeCell ref="B16:AF16"/>
    <mergeCell ref="AE17:AF17"/>
    <mergeCell ref="B18:W18"/>
    <mergeCell ref="X18:AD18"/>
    <mergeCell ref="AE18:AF18"/>
    <mergeCell ref="B19:W21"/>
    <mergeCell ref="X19:AD19"/>
    <mergeCell ref="AE19:AF19"/>
    <mergeCell ref="X20:AD20"/>
    <mergeCell ref="AE20:AF20"/>
    <mergeCell ref="AG28:AJ28"/>
    <mergeCell ref="B29:D29"/>
    <mergeCell ref="E29:AD29"/>
    <mergeCell ref="AE29:AF29"/>
    <mergeCell ref="B30:D30"/>
    <mergeCell ref="E30:AD30"/>
    <mergeCell ref="AE30:AF30"/>
    <mergeCell ref="B27:D27"/>
    <mergeCell ref="E27:AD27"/>
    <mergeCell ref="AE27:AF27"/>
    <mergeCell ref="B28:D28"/>
    <mergeCell ref="E28:AD28"/>
    <mergeCell ref="AE28:AF28"/>
    <mergeCell ref="AG37:AK38"/>
    <mergeCell ref="B38:D38"/>
    <mergeCell ref="E38:AC38"/>
    <mergeCell ref="B31:D31"/>
    <mergeCell ref="E31:AD31"/>
    <mergeCell ref="AE31:AF31"/>
    <mergeCell ref="B33:AF33"/>
    <mergeCell ref="B35:D35"/>
    <mergeCell ref="E35:AD35"/>
    <mergeCell ref="B39:D39"/>
    <mergeCell ref="B40:D40"/>
    <mergeCell ref="E40:AC40"/>
    <mergeCell ref="B41:D41"/>
    <mergeCell ref="E41:K41"/>
    <mergeCell ref="L41:AD41"/>
    <mergeCell ref="B36:D36"/>
    <mergeCell ref="E36:AD36"/>
    <mergeCell ref="B37:D37"/>
    <mergeCell ref="B49:D49"/>
    <mergeCell ref="E49:AD49"/>
    <mergeCell ref="B50:AD50"/>
    <mergeCell ref="B53:D53"/>
    <mergeCell ref="E53:AD53"/>
    <mergeCell ref="B54:D54"/>
    <mergeCell ref="E54:F54"/>
    <mergeCell ref="G54:AC54"/>
    <mergeCell ref="B44:AF44"/>
    <mergeCell ref="AE46:AF46"/>
    <mergeCell ref="B47:D47"/>
    <mergeCell ref="E47:AD47"/>
    <mergeCell ref="B48:D48"/>
    <mergeCell ref="E48:AD48"/>
    <mergeCell ref="AG54:AK62"/>
    <mergeCell ref="B55:D55"/>
    <mergeCell ref="E55:AD55"/>
    <mergeCell ref="B56:D56"/>
    <mergeCell ref="E56:AD56"/>
    <mergeCell ref="B57:D57"/>
    <mergeCell ref="E57:AD57"/>
    <mergeCell ref="B58:D58"/>
    <mergeCell ref="E58:AD58"/>
    <mergeCell ref="B59:D59"/>
    <mergeCell ref="B63:AD63"/>
    <mergeCell ref="AE65:AF65"/>
    <mergeCell ref="B66:D66"/>
    <mergeCell ref="E66:AD66"/>
    <mergeCell ref="B67:D68"/>
    <mergeCell ref="E67:AC68"/>
    <mergeCell ref="AF67:AF68"/>
    <mergeCell ref="E59:AD59"/>
    <mergeCell ref="B60:D60"/>
    <mergeCell ref="E60:AD60"/>
    <mergeCell ref="B61:D61"/>
    <mergeCell ref="E61:AD61"/>
    <mergeCell ref="B62:D62"/>
    <mergeCell ref="E62:K62"/>
    <mergeCell ref="L62:AD62"/>
    <mergeCell ref="B74:D74"/>
    <mergeCell ref="E74:G74"/>
    <mergeCell ref="H74:AD74"/>
    <mergeCell ref="AE77:AF77"/>
    <mergeCell ref="B78:D78"/>
    <mergeCell ref="E78:AD78"/>
    <mergeCell ref="AG67:AJ74"/>
    <mergeCell ref="B69:D70"/>
    <mergeCell ref="E69:AC70"/>
    <mergeCell ref="AF69:AF70"/>
    <mergeCell ref="B71:D71"/>
    <mergeCell ref="E71:AD71"/>
    <mergeCell ref="B72:D72"/>
    <mergeCell ref="E72:AD72"/>
    <mergeCell ref="B73:D73"/>
    <mergeCell ref="E73:AD73"/>
    <mergeCell ref="B82:AD82"/>
    <mergeCell ref="B84:AF84"/>
    <mergeCell ref="B86:D86"/>
    <mergeCell ref="B87:D87"/>
    <mergeCell ref="E87:AC87"/>
    <mergeCell ref="B88:D88"/>
    <mergeCell ref="E88:AD88"/>
    <mergeCell ref="B79:D79"/>
    <mergeCell ref="E79:AD79"/>
    <mergeCell ref="B80:D80"/>
    <mergeCell ref="E80:AD80"/>
    <mergeCell ref="B81:D81"/>
    <mergeCell ref="E81:AD81"/>
    <mergeCell ref="B92:D92"/>
    <mergeCell ref="E92:AD92"/>
    <mergeCell ref="B93:AD93"/>
    <mergeCell ref="B95:AF95"/>
    <mergeCell ref="B98:D98"/>
    <mergeCell ref="B99:D99"/>
    <mergeCell ref="E99:AC99"/>
    <mergeCell ref="B89:D89"/>
    <mergeCell ref="E89:AD89"/>
    <mergeCell ref="B90:D90"/>
    <mergeCell ref="E90:AC90"/>
    <mergeCell ref="B91:D91"/>
    <mergeCell ref="E91:AD91"/>
    <mergeCell ref="B103:D103"/>
    <mergeCell ref="E103:AC103"/>
    <mergeCell ref="B104:D104"/>
    <mergeCell ref="S104:AC104"/>
    <mergeCell ref="B105:AD105"/>
    <mergeCell ref="AE107:AF107"/>
    <mergeCell ref="B100:D100"/>
    <mergeCell ref="E100:AC100"/>
    <mergeCell ref="B101:D101"/>
    <mergeCell ref="E101:AC101"/>
    <mergeCell ref="B102:D102"/>
    <mergeCell ref="E102:AC102"/>
    <mergeCell ref="B114:D114"/>
    <mergeCell ref="E114:AD114"/>
    <mergeCell ref="B115:AD115"/>
    <mergeCell ref="B117:AF117"/>
    <mergeCell ref="B119:D119"/>
    <mergeCell ref="E119:AD119"/>
    <mergeCell ref="B108:D108"/>
    <mergeCell ref="B109:D109"/>
    <mergeCell ref="E109:AD109"/>
    <mergeCell ref="B110:AD110"/>
    <mergeCell ref="B113:D113"/>
    <mergeCell ref="E113:AD113"/>
    <mergeCell ref="B123:D123"/>
    <mergeCell ref="E123:AD123"/>
    <mergeCell ref="B124:D124"/>
    <mergeCell ref="E124:AD124"/>
    <mergeCell ref="B125:D125"/>
    <mergeCell ref="E125:AD125"/>
    <mergeCell ref="B120:D120"/>
    <mergeCell ref="E120:AD120"/>
    <mergeCell ref="B121:D121"/>
    <mergeCell ref="E121:AD121"/>
    <mergeCell ref="B122:D122"/>
    <mergeCell ref="E122:AD122"/>
    <mergeCell ref="B129:D129"/>
    <mergeCell ref="E129:G129"/>
    <mergeCell ref="H129:AD129"/>
    <mergeCell ref="B132:AF132"/>
    <mergeCell ref="B134:D134"/>
    <mergeCell ref="E134:AD134"/>
    <mergeCell ref="B126:D126"/>
    <mergeCell ref="E126:AD126"/>
    <mergeCell ref="B127:D127"/>
    <mergeCell ref="E127:AD127"/>
    <mergeCell ref="B128:D128"/>
    <mergeCell ref="E128:AD128"/>
    <mergeCell ref="B135:D135"/>
    <mergeCell ref="E135:AD135"/>
    <mergeCell ref="B136:D136"/>
    <mergeCell ref="E136:AD136"/>
    <mergeCell ref="B137:D157"/>
    <mergeCell ref="E137:AD137"/>
    <mergeCell ref="E138:AD138"/>
    <mergeCell ref="E139:AD139"/>
    <mergeCell ref="E140:AD140"/>
    <mergeCell ref="E142:AD142"/>
    <mergeCell ref="E149:AD149"/>
    <mergeCell ref="E150:AD150"/>
    <mergeCell ref="E151:AD151"/>
    <mergeCell ref="E152:AD152"/>
    <mergeCell ref="E153:AD153"/>
    <mergeCell ref="E154:AD154"/>
    <mergeCell ref="E143:AD143"/>
    <mergeCell ref="E144:AD144"/>
    <mergeCell ref="E145:AD145"/>
    <mergeCell ref="E146:AD146"/>
    <mergeCell ref="E147:AD147"/>
    <mergeCell ref="E148:AD148"/>
    <mergeCell ref="B163:D163"/>
    <mergeCell ref="E163:AD163"/>
    <mergeCell ref="B164:D164"/>
    <mergeCell ref="E164:AD164"/>
    <mergeCell ref="B165:D165"/>
    <mergeCell ref="E165:AD165"/>
    <mergeCell ref="E155:AD155"/>
    <mergeCell ref="E156:AD156"/>
    <mergeCell ref="E157:AD157"/>
    <mergeCell ref="B160:AF160"/>
    <mergeCell ref="B161:AD161"/>
    <mergeCell ref="B162:D162"/>
    <mergeCell ref="E162:AD162"/>
    <mergeCell ref="B176:AD176"/>
    <mergeCell ref="B177:AD177"/>
    <mergeCell ref="B183:AF185"/>
    <mergeCell ref="B166:D166"/>
    <mergeCell ref="E166:AD166"/>
    <mergeCell ref="B167:AD167"/>
    <mergeCell ref="B168:D168"/>
    <mergeCell ref="E168:AD168"/>
    <mergeCell ref="B169:AD169"/>
  </mergeCells>
  <conditionalFormatting sqref="AE36">
    <cfRule type="expression" dxfId="1" priority="1" stopIfTrue="1">
      <formula>AF36&lt;AE28</formula>
    </cfRule>
  </conditionalFormatting>
  <printOptions horizontalCentered="1"/>
  <pageMargins left="0.59027777777777779" right="0.59027777777777779" top="0.59027777777777779" bottom="0.59027777777777779" header="0.51181102362204722" footer="0.51181102362204722"/>
  <pageSetup paperSize="8" scale="62" firstPageNumber="0" orientation="landscape" horizontalDpi="300" verticalDpi="300" r:id="rId1"/>
  <headerFooter alignWithMargins="0"/>
  <rowBreaks count="2" manualBreakCount="2">
    <brk id="63" max="16383" man="1"/>
    <brk id="130" max="16383" man="1"/>
  </rowBreaks>
  <ignoredErrors>
    <ignoredError sqref="J5 AE5 AE7:AF8 AE11:AF14 AD13 AE20 AF120:AF128" unlockedFormula="1"/>
  </ignoredError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9E281-1A09-4738-8277-1A3506D078F3}">
  <sheetPr>
    <tabColor indexed="17"/>
  </sheetPr>
  <dimension ref="A1:BE185"/>
  <sheetViews>
    <sheetView showGridLines="0" topLeftCell="K91" zoomScaleNormal="100" workbookViewId="0">
      <selection activeCell="AF120" sqref="AF120"/>
    </sheetView>
  </sheetViews>
  <sheetFormatPr defaultColWidth="1.85546875" defaultRowHeight="12.75"/>
  <cols>
    <col min="1" max="1" width="1.85546875" style="1"/>
    <col min="2" max="2" width="4" style="1" customWidth="1"/>
    <col min="3" max="3" width="2" style="1" customWidth="1"/>
    <col min="4" max="4" width="2" style="2" customWidth="1"/>
    <col min="5" max="9" width="2.5703125" style="1" customWidth="1"/>
    <col min="10" max="10" width="3.140625" style="1" customWidth="1"/>
    <col min="11" max="13" width="2.5703125" style="1" customWidth="1"/>
    <col min="14" max="14" width="4.140625" style="1" customWidth="1"/>
    <col min="15" max="16" width="2.5703125" style="1" customWidth="1"/>
    <col min="17" max="17" width="4.28515625" style="1" customWidth="1"/>
    <col min="18" max="22" width="2.5703125" style="1" customWidth="1"/>
    <col min="23" max="23" width="3.42578125" style="1" customWidth="1"/>
    <col min="24" max="27" width="2.5703125" style="1" customWidth="1"/>
    <col min="28" max="28" width="3.85546875" style="1" customWidth="1"/>
    <col min="29" max="29" width="7.5703125" style="1" customWidth="1"/>
    <col min="30" max="30" width="11.28515625" style="1" customWidth="1"/>
    <col min="31" max="32" width="15.7109375" style="1" customWidth="1"/>
    <col min="33" max="33" width="8.85546875" style="1" customWidth="1"/>
    <col min="34" max="34" width="9.42578125" style="1" customWidth="1"/>
    <col min="35" max="35" width="21.85546875" style="1" customWidth="1"/>
    <col min="36" max="36" width="5.42578125" style="1" customWidth="1"/>
    <col min="37" max="37" width="16.42578125" style="1" customWidth="1"/>
    <col min="38" max="62" width="5.42578125" style="1" customWidth="1"/>
    <col min="63" max="16384" width="1.85546875" style="1"/>
  </cols>
  <sheetData>
    <row r="1" spans="1:35" ht="13.5" thickBot="1">
      <c r="A1" s="1" t="s">
        <v>363</v>
      </c>
    </row>
    <row r="2" spans="1:35" ht="18.75" customHeight="1">
      <c r="B2" s="532" t="s">
        <v>416</v>
      </c>
      <c r="C2" s="533"/>
      <c r="D2" s="533"/>
      <c r="E2" s="533"/>
      <c r="F2" s="533"/>
      <c r="G2" s="533"/>
      <c r="H2" s="533"/>
      <c r="I2" s="533"/>
      <c r="J2" s="533"/>
      <c r="K2" s="533"/>
      <c r="L2" s="533"/>
      <c r="M2" s="533"/>
      <c r="N2" s="533"/>
      <c r="O2" s="533"/>
      <c r="P2" s="533"/>
      <c r="Q2" s="533"/>
      <c r="R2" s="533"/>
      <c r="S2" s="533"/>
      <c r="T2" s="533"/>
      <c r="U2" s="533"/>
      <c r="V2" s="533"/>
      <c r="W2" s="533"/>
      <c r="X2" s="533"/>
      <c r="Y2" s="533"/>
      <c r="Z2" s="533"/>
      <c r="AA2" s="533"/>
      <c r="AB2" s="533"/>
      <c r="AC2" s="533"/>
      <c r="AD2" s="533"/>
      <c r="AE2" s="533"/>
      <c r="AF2" s="534"/>
      <c r="AH2" s="517" t="s">
        <v>344</v>
      </c>
      <c r="AI2" s="102" t="s">
        <v>343</v>
      </c>
    </row>
    <row r="3" spans="1:35" ht="18.75" customHeight="1" thickBot="1">
      <c r="B3" s="535"/>
      <c r="C3" s="536"/>
      <c r="D3" s="536"/>
      <c r="E3" s="536"/>
      <c r="F3" s="536"/>
      <c r="G3" s="536"/>
      <c r="H3" s="536"/>
      <c r="I3" s="536"/>
      <c r="J3" s="536"/>
      <c r="K3" s="536"/>
      <c r="L3" s="536"/>
      <c r="M3" s="536"/>
      <c r="N3" s="536"/>
      <c r="O3" s="536"/>
      <c r="P3" s="536"/>
      <c r="Q3" s="536"/>
      <c r="R3" s="536"/>
      <c r="S3" s="536"/>
      <c r="T3" s="536"/>
      <c r="U3" s="536"/>
      <c r="V3" s="536"/>
      <c r="W3" s="536"/>
      <c r="X3" s="536"/>
      <c r="Y3" s="536"/>
      <c r="Z3" s="536"/>
      <c r="AA3" s="536"/>
      <c r="AB3" s="536"/>
      <c r="AC3" s="536"/>
      <c r="AD3" s="536"/>
      <c r="AE3" s="536"/>
      <c r="AF3" s="537"/>
      <c r="AH3" s="517"/>
      <c r="AI3" s="103" t="s">
        <v>345</v>
      </c>
    </row>
    <row r="4" spans="1:35" ht="13.5" thickBot="1"/>
    <row r="5" spans="1:35" ht="31.5" customHeight="1" thickBot="1">
      <c r="B5" s="433" t="s">
        <v>190</v>
      </c>
      <c r="C5" s="434"/>
      <c r="D5" s="434"/>
      <c r="E5" s="434"/>
      <c r="F5" s="434"/>
      <c r="G5" s="434"/>
      <c r="H5" s="434"/>
      <c r="I5" s="435"/>
      <c r="J5" s="538" t="str">
        <f>'II. PCFP Vigilante Diurno'!J5</f>
        <v>( ? )</v>
      </c>
      <c r="K5" s="539"/>
      <c r="L5" s="539"/>
      <c r="M5" s="539"/>
      <c r="N5" s="539"/>
      <c r="O5" s="539"/>
      <c r="P5" s="539"/>
      <c r="Q5" s="539"/>
      <c r="R5" s="539"/>
      <c r="S5" s="539"/>
      <c r="T5" s="539"/>
      <c r="U5" s="539"/>
      <c r="V5" s="539"/>
      <c r="W5" s="539"/>
      <c r="X5" s="539"/>
      <c r="Y5" s="539"/>
      <c r="Z5" s="539"/>
      <c r="AA5" s="539"/>
      <c r="AB5" s="540"/>
      <c r="AD5" s="256" t="s">
        <v>191</v>
      </c>
      <c r="AE5" s="541" t="str">
        <f>'II. PCFP Vigilante Diurno'!AE5</f>
        <v>( ? )</v>
      </c>
      <c r="AF5" s="542"/>
    </row>
    <row r="6" spans="1:35" ht="13.5" thickBot="1"/>
    <row r="7" spans="1:35" ht="16.5" customHeight="1">
      <c r="B7" s="438" t="s">
        <v>2</v>
      </c>
      <c r="C7" s="377"/>
      <c r="D7" s="377"/>
      <c r="E7" s="377"/>
      <c r="F7" s="377"/>
      <c r="G7" s="377"/>
      <c r="H7" s="377"/>
      <c r="I7" s="378"/>
      <c r="J7" s="257">
        <v>3</v>
      </c>
      <c r="K7" s="439" t="str">
        <f>IF(J7=1,"Simples Nacional",IF(J7=2,"Lucro Real",IF(J7=3,"Lucro Presumido","Digite 1, 2 ou 3")))</f>
        <v>Lucro Presumido</v>
      </c>
      <c r="L7" s="440"/>
      <c r="M7" s="440"/>
      <c r="N7" s="440"/>
      <c r="O7" s="440"/>
      <c r="P7" s="441"/>
      <c r="Q7" s="442"/>
      <c r="AB7" s="376" t="s">
        <v>369</v>
      </c>
      <c r="AC7" s="377"/>
      <c r="AD7" s="378"/>
      <c r="AE7" s="443">
        <f>'II. PCFP Vigilante Diurno'!AE7</f>
        <v>1000000303</v>
      </c>
      <c r="AF7" s="444"/>
    </row>
    <row r="8" spans="1:35" ht="16.5" customHeight="1" thickBot="1">
      <c r="B8" s="445" t="s">
        <v>4</v>
      </c>
      <c r="C8" s="374"/>
      <c r="D8" s="374"/>
      <c r="E8" s="374"/>
      <c r="F8" s="374"/>
      <c r="G8" s="374"/>
      <c r="H8" s="374"/>
      <c r="I8" s="375"/>
      <c r="J8" s="446">
        <f>1-AE137</f>
        <v>0.91349999999999998</v>
      </c>
      <c r="K8" s="447"/>
      <c r="L8" s="448"/>
      <c r="M8" s="448"/>
      <c r="N8" s="448"/>
      <c r="O8" s="448"/>
      <c r="P8" s="447"/>
      <c r="Q8" s="449"/>
      <c r="AB8" s="373" t="s">
        <v>192</v>
      </c>
      <c r="AC8" s="374"/>
      <c r="AD8" s="375"/>
      <c r="AE8" s="528" t="str">
        <f>'II. PCFP Vigilante Diurno'!AE8</f>
        <v>303/2025</v>
      </c>
      <c r="AF8" s="529"/>
    </row>
    <row r="9" spans="1:35" ht="13.5" thickBot="1"/>
    <row r="10" spans="1:35" ht="17.25" customHeight="1">
      <c r="B10" s="450" t="s">
        <v>6</v>
      </c>
      <c r="C10" s="451"/>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2"/>
    </row>
    <row r="11" spans="1:35" ht="17.25" customHeight="1">
      <c r="B11" s="416" t="s">
        <v>7</v>
      </c>
      <c r="C11" s="417"/>
      <c r="D11" s="418"/>
      <c r="E11" s="53" t="s">
        <v>8</v>
      </c>
      <c r="F11" s="4"/>
      <c r="G11" s="4"/>
      <c r="H11" s="4"/>
      <c r="I11" s="4"/>
      <c r="J11" s="4"/>
      <c r="K11" s="4"/>
      <c r="L11" s="4"/>
      <c r="M11" s="4"/>
      <c r="N11" s="4"/>
      <c r="O11" s="4"/>
      <c r="P11" s="4"/>
      <c r="Q11" s="4"/>
      <c r="R11" s="4"/>
      <c r="S11" s="4"/>
      <c r="T11" s="4"/>
      <c r="U11" s="4"/>
      <c r="V11" s="4"/>
      <c r="W11" s="4"/>
      <c r="X11" s="4"/>
      <c r="Y11" s="4"/>
      <c r="Z11" s="4"/>
      <c r="AA11" s="4"/>
      <c r="AB11" s="4"/>
      <c r="AC11" s="4"/>
      <c r="AD11" s="4"/>
      <c r="AE11" s="530">
        <f ca="1">'II. PCFP Vigilante Diurno'!AE11</f>
        <v>46001</v>
      </c>
      <c r="AF11" s="531"/>
    </row>
    <row r="12" spans="1:35" ht="17.25" customHeight="1">
      <c r="B12" s="416" t="s">
        <v>9</v>
      </c>
      <c r="C12" s="417"/>
      <c r="D12" s="418"/>
      <c r="E12" s="53" t="s">
        <v>10</v>
      </c>
      <c r="F12" s="4"/>
      <c r="G12" s="4"/>
      <c r="H12" s="4"/>
      <c r="I12" s="4"/>
      <c r="J12" s="4"/>
      <c r="K12" s="4"/>
      <c r="L12" s="4"/>
      <c r="M12" s="4"/>
      <c r="N12" s="4"/>
      <c r="O12" s="4"/>
      <c r="P12" s="4"/>
      <c r="Q12" s="4"/>
      <c r="R12" s="4"/>
      <c r="S12" s="4"/>
      <c r="T12" s="4"/>
      <c r="U12" s="4"/>
      <c r="V12" s="4"/>
      <c r="W12" s="4"/>
      <c r="X12" s="4"/>
      <c r="Y12" s="4"/>
      <c r="Z12" s="4"/>
      <c r="AA12" s="4"/>
      <c r="AB12" s="4"/>
      <c r="AC12" s="4"/>
      <c r="AD12" s="4"/>
      <c r="AE12" s="455" t="str">
        <f>'II. PCFP Vigilante Diurno'!AE12</f>
        <v>Paranaguá/PR</v>
      </c>
      <c r="AF12" s="456"/>
    </row>
    <row r="13" spans="1:35" ht="17.25" customHeight="1">
      <c r="B13" s="416" t="s">
        <v>11</v>
      </c>
      <c r="C13" s="417"/>
      <c r="D13" s="418"/>
      <c r="E13" s="53" t="s">
        <v>12</v>
      </c>
      <c r="F13" s="4"/>
      <c r="G13" s="4"/>
      <c r="H13" s="4"/>
      <c r="I13" s="4"/>
      <c r="J13" s="4"/>
      <c r="K13" s="4"/>
      <c r="L13" s="4"/>
      <c r="M13" s="4"/>
      <c r="N13" s="4"/>
      <c r="O13" s="4"/>
      <c r="P13" s="4"/>
      <c r="Q13" s="4"/>
      <c r="R13" s="4"/>
      <c r="S13" s="4"/>
      <c r="T13" s="4"/>
      <c r="U13" s="4"/>
      <c r="V13" s="4"/>
      <c r="W13" s="4"/>
      <c r="X13" s="4"/>
      <c r="Y13" s="4"/>
      <c r="Z13" s="4"/>
      <c r="AA13" s="4"/>
      <c r="AB13" s="4"/>
      <c r="AC13" s="4"/>
      <c r="AD13" s="260" t="str">
        <f>'II. PCFP Vigilante Diurno'!AD13</f>
        <v>CCT</v>
      </c>
      <c r="AE13" s="524" t="str">
        <f>'II. PCFP Vigilante Diurno'!AE13</f>
        <v>PR000353/2024</v>
      </c>
      <c r="AF13" s="525"/>
      <c r="AH13" s="143"/>
    </row>
    <row r="14" spans="1:35" ht="17.25" customHeight="1" thickBot="1">
      <c r="B14" s="373" t="s">
        <v>13</v>
      </c>
      <c r="C14" s="374"/>
      <c r="D14" s="375"/>
      <c r="E14" s="110" t="s">
        <v>14</v>
      </c>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526">
        <f>'II. PCFP Vigilante Diurno'!AE14</f>
        <v>30</v>
      </c>
      <c r="AF14" s="527"/>
    </row>
    <row r="15" spans="1:35" ht="13.5" thickBot="1">
      <c r="B15" s="54"/>
      <c r="C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row>
    <row r="16" spans="1:35" ht="16.5" customHeight="1">
      <c r="B16" s="450" t="s">
        <v>15</v>
      </c>
      <c r="C16" s="451"/>
      <c r="D16" s="451"/>
      <c r="E16" s="451"/>
      <c r="F16" s="451"/>
      <c r="G16" s="451"/>
      <c r="H16" s="451"/>
      <c r="I16" s="451"/>
      <c r="J16" s="451"/>
      <c r="K16" s="451"/>
      <c r="L16" s="451"/>
      <c r="M16" s="451"/>
      <c r="N16" s="451"/>
      <c r="O16" s="451"/>
      <c r="P16" s="451"/>
      <c r="Q16" s="451"/>
      <c r="R16" s="451"/>
      <c r="S16" s="451"/>
      <c r="T16" s="451"/>
      <c r="U16" s="451"/>
      <c r="V16" s="451"/>
      <c r="W16" s="451"/>
      <c r="X16" s="451"/>
      <c r="Y16" s="451"/>
      <c r="Z16" s="451"/>
      <c r="AA16" s="451"/>
      <c r="AB16" s="451"/>
      <c r="AC16" s="451"/>
      <c r="AD16" s="451"/>
      <c r="AE16" s="451"/>
      <c r="AF16" s="452"/>
    </row>
    <row r="17" spans="2:36" ht="15.75" customHeight="1">
      <c r="B17" s="255" t="s">
        <v>16</v>
      </c>
      <c r="C17" s="78"/>
      <c r="D17" s="78"/>
      <c r="E17" s="258"/>
      <c r="F17" s="78"/>
      <c r="G17" s="78"/>
      <c r="H17" s="78"/>
      <c r="I17" s="78"/>
      <c r="J17" s="78"/>
      <c r="K17" s="78"/>
      <c r="L17" s="78"/>
      <c r="M17" s="78"/>
      <c r="N17" s="78"/>
      <c r="O17" s="78"/>
      <c r="P17" s="78"/>
      <c r="Q17" s="78"/>
      <c r="R17" s="78"/>
      <c r="S17" s="78"/>
      <c r="T17" s="78"/>
      <c r="U17" s="78"/>
      <c r="V17" s="78"/>
      <c r="W17" s="79"/>
      <c r="X17" s="77" t="s">
        <v>17</v>
      </c>
      <c r="Y17" s="80"/>
      <c r="Z17" s="80"/>
      <c r="AA17" s="80"/>
      <c r="AB17" s="80"/>
      <c r="AC17" s="80"/>
      <c r="AD17" s="81"/>
      <c r="AE17" s="461" t="s">
        <v>194</v>
      </c>
      <c r="AF17" s="462"/>
    </row>
    <row r="18" spans="2:36" s="6" customFormat="1" ht="24.75" customHeight="1">
      <c r="B18" s="388" t="s">
        <v>418</v>
      </c>
      <c r="C18" s="389"/>
      <c r="D18" s="389"/>
      <c r="E18" s="389"/>
      <c r="F18" s="389"/>
      <c r="G18" s="389"/>
      <c r="H18" s="389"/>
      <c r="I18" s="389"/>
      <c r="J18" s="389"/>
      <c r="K18" s="389"/>
      <c r="L18" s="390"/>
      <c r="M18" s="390"/>
      <c r="N18" s="390"/>
      <c r="O18" s="390"/>
      <c r="P18" s="389"/>
      <c r="Q18" s="389"/>
      <c r="R18" s="389"/>
      <c r="S18" s="389"/>
      <c r="T18" s="389"/>
      <c r="U18" s="389"/>
      <c r="V18" s="389"/>
      <c r="W18" s="391"/>
      <c r="X18" s="392" t="s">
        <v>195</v>
      </c>
      <c r="Y18" s="393"/>
      <c r="Z18" s="393"/>
      <c r="AA18" s="393"/>
      <c r="AB18" s="393"/>
      <c r="AC18" s="393"/>
      <c r="AD18" s="394"/>
      <c r="AE18" s="395">
        <v>2</v>
      </c>
      <c r="AF18" s="396"/>
    </row>
    <row r="19" spans="2:36" s="6" customFormat="1" ht="21" customHeight="1">
      <c r="B19" s="379" t="s">
        <v>196</v>
      </c>
      <c r="C19" s="380"/>
      <c r="D19" s="380"/>
      <c r="E19" s="380"/>
      <c r="F19" s="380"/>
      <c r="G19" s="380"/>
      <c r="H19" s="380"/>
      <c r="I19" s="380"/>
      <c r="J19" s="380"/>
      <c r="K19" s="380"/>
      <c r="L19" s="380"/>
      <c r="M19" s="380"/>
      <c r="N19" s="380"/>
      <c r="O19" s="380"/>
      <c r="P19" s="380"/>
      <c r="Q19" s="380"/>
      <c r="R19" s="380"/>
      <c r="S19" s="380"/>
      <c r="T19" s="380"/>
      <c r="U19" s="380"/>
      <c r="V19" s="380"/>
      <c r="W19" s="381"/>
      <c r="X19" s="392" t="s">
        <v>364</v>
      </c>
      <c r="Y19" s="393"/>
      <c r="Z19" s="393"/>
      <c r="AA19" s="393"/>
      <c r="AB19" s="393"/>
      <c r="AC19" s="393"/>
      <c r="AD19" s="394"/>
      <c r="AE19" s="397">
        <v>1</v>
      </c>
      <c r="AF19" s="398"/>
    </row>
    <row r="20" spans="2:36" s="6" customFormat="1" ht="21" customHeight="1">
      <c r="B20" s="382"/>
      <c r="C20" s="383"/>
      <c r="D20" s="383"/>
      <c r="E20" s="383"/>
      <c r="F20" s="383"/>
      <c r="G20" s="383"/>
      <c r="H20" s="383"/>
      <c r="I20" s="383"/>
      <c r="J20" s="383"/>
      <c r="K20" s="383"/>
      <c r="L20" s="383"/>
      <c r="M20" s="383"/>
      <c r="N20" s="383"/>
      <c r="O20" s="383"/>
      <c r="P20" s="383"/>
      <c r="Q20" s="383"/>
      <c r="R20" s="383"/>
      <c r="S20" s="383"/>
      <c r="T20" s="383"/>
      <c r="U20" s="383"/>
      <c r="V20" s="383"/>
      <c r="W20" s="384"/>
      <c r="X20" s="392" t="s">
        <v>365</v>
      </c>
      <c r="Y20" s="393"/>
      <c r="Z20" s="393"/>
      <c r="AA20" s="393"/>
      <c r="AB20" s="393"/>
      <c r="AC20" s="393"/>
      <c r="AD20" s="394"/>
      <c r="AE20" s="397">
        <f>AE18*AE19</f>
        <v>2</v>
      </c>
      <c r="AF20" s="398"/>
    </row>
    <row r="21" spans="2:36" s="6" customFormat="1" ht="16.5" customHeight="1" thickBot="1">
      <c r="B21" s="385"/>
      <c r="C21" s="386"/>
      <c r="D21" s="386"/>
      <c r="E21" s="386"/>
      <c r="F21" s="386"/>
      <c r="G21" s="386"/>
      <c r="H21" s="386"/>
      <c r="I21" s="386"/>
      <c r="J21" s="386"/>
      <c r="K21" s="386"/>
      <c r="L21" s="386"/>
      <c r="M21" s="386"/>
      <c r="N21" s="386"/>
      <c r="O21" s="386"/>
      <c r="P21" s="386"/>
      <c r="Q21" s="386"/>
      <c r="R21" s="386"/>
      <c r="S21" s="386"/>
      <c r="T21" s="386"/>
      <c r="U21" s="386"/>
      <c r="V21" s="386"/>
      <c r="W21" s="387"/>
      <c r="X21" s="399" t="s">
        <v>197</v>
      </c>
      <c r="Y21" s="400"/>
      <c r="Z21" s="400"/>
      <c r="AA21" s="400"/>
      <c r="AB21" s="400"/>
      <c r="AC21" s="400"/>
      <c r="AD21" s="401"/>
      <c r="AE21" s="402" t="s">
        <v>198</v>
      </c>
      <c r="AF21" s="403"/>
    </row>
    <row r="22" spans="2:36" ht="13.5" thickBot="1"/>
    <row r="23" spans="2:36" ht="12.75" customHeight="1">
      <c r="B23" s="404" t="s">
        <v>22</v>
      </c>
      <c r="C23" s="405"/>
      <c r="D23" s="405"/>
      <c r="E23" s="405"/>
      <c r="F23" s="405"/>
      <c r="G23" s="405"/>
      <c r="H23" s="405"/>
      <c r="I23" s="405"/>
      <c r="J23" s="405"/>
      <c r="K23" s="405"/>
      <c r="L23" s="405"/>
      <c r="M23" s="405"/>
      <c r="N23" s="405"/>
      <c r="O23" s="405"/>
      <c r="P23" s="405"/>
      <c r="Q23" s="405"/>
      <c r="R23" s="405"/>
      <c r="S23" s="405"/>
      <c r="T23" s="405"/>
      <c r="U23" s="405"/>
      <c r="V23" s="405"/>
      <c r="W23" s="405"/>
      <c r="X23" s="405"/>
      <c r="Y23" s="405"/>
      <c r="Z23" s="405"/>
      <c r="AA23" s="405"/>
      <c r="AB23" s="405"/>
      <c r="AC23" s="405"/>
      <c r="AD23" s="406"/>
      <c r="AE23" s="410" t="s">
        <v>199</v>
      </c>
      <c r="AF23" s="411"/>
    </row>
    <row r="24" spans="2:36" ht="12.75" customHeight="1">
      <c r="B24" s="407"/>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9"/>
      <c r="AE24" s="412"/>
      <c r="AF24" s="413"/>
    </row>
    <row r="25" spans="2:36" ht="20.25" customHeight="1">
      <c r="B25" s="255" t="s">
        <v>23</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414"/>
      <c r="AF25" s="415"/>
    </row>
    <row r="26" spans="2:36" ht="24" customHeight="1">
      <c r="B26" s="416">
        <v>1</v>
      </c>
      <c r="C26" s="417"/>
      <c r="D26" s="418"/>
      <c r="E26" s="419" t="s">
        <v>25</v>
      </c>
      <c r="F26" s="420"/>
      <c r="G26" s="420"/>
      <c r="H26" s="420"/>
      <c r="I26" s="420"/>
      <c r="J26" s="420"/>
      <c r="K26" s="420"/>
      <c r="L26" s="295"/>
      <c r="M26" s="295"/>
      <c r="N26" s="295"/>
      <c r="O26" s="295"/>
      <c r="P26" s="420"/>
      <c r="Q26" s="420"/>
      <c r="R26" s="420"/>
      <c r="S26" s="420"/>
      <c r="T26" s="420"/>
      <c r="U26" s="420"/>
      <c r="V26" s="420"/>
      <c r="W26" s="420"/>
      <c r="X26" s="420"/>
      <c r="Y26" s="420"/>
      <c r="Z26" s="420"/>
      <c r="AA26" s="420"/>
      <c r="AB26" s="420"/>
      <c r="AC26" s="420"/>
      <c r="AD26" s="421"/>
      <c r="AE26" s="422" t="str">
        <f>IF(B18="","",B18)</f>
        <v>SUPERVISOR DE VIGILÂNCIA ARMADA – NOTURNO</v>
      </c>
      <c r="AF26" s="423"/>
    </row>
    <row r="27" spans="2:36" ht="26.25" customHeight="1">
      <c r="B27" s="416">
        <v>2</v>
      </c>
      <c r="C27" s="417"/>
      <c r="D27" s="418"/>
      <c r="E27" s="419" t="s">
        <v>200</v>
      </c>
      <c r="F27" s="420"/>
      <c r="G27" s="420"/>
      <c r="H27" s="420"/>
      <c r="I27" s="420"/>
      <c r="J27" s="420"/>
      <c r="K27" s="420"/>
      <c r="L27" s="295"/>
      <c r="M27" s="295"/>
      <c r="N27" s="295"/>
      <c r="O27" s="295"/>
      <c r="P27" s="420"/>
      <c r="Q27" s="420"/>
      <c r="R27" s="420"/>
      <c r="S27" s="420"/>
      <c r="T27" s="420"/>
      <c r="U27" s="420"/>
      <c r="V27" s="420"/>
      <c r="W27" s="420"/>
      <c r="X27" s="420"/>
      <c r="Y27" s="420"/>
      <c r="Z27" s="420"/>
      <c r="AA27" s="420"/>
      <c r="AB27" s="420"/>
      <c r="AC27" s="420"/>
      <c r="AD27" s="421"/>
      <c r="AE27" s="424" t="s">
        <v>201</v>
      </c>
      <c r="AF27" s="425"/>
      <c r="AG27" s="143"/>
    </row>
    <row r="28" spans="2:36" ht="26.25" customHeight="1">
      <c r="B28" s="416">
        <v>3</v>
      </c>
      <c r="C28" s="426"/>
      <c r="D28" s="426"/>
      <c r="E28" s="419" t="s">
        <v>202</v>
      </c>
      <c r="F28" s="420"/>
      <c r="G28" s="420"/>
      <c r="H28" s="420"/>
      <c r="I28" s="420"/>
      <c r="J28" s="420"/>
      <c r="K28" s="420"/>
      <c r="L28" s="295"/>
      <c r="M28" s="295"/>
      <c r="N28" s="295"/>
      <c r="O28" s="295"/>
      <c r="P28" s="420"/>
      <c r="Q28" s="420"/>
      <c r="R28" s="420"/>
      <c r="S28" s="420"/>
      <c r="T28" s="420"/>
      <c r="U28" s="420"/>
      <c r="V28" s="420"/>
      <c r="W28" s="420"/>
      <c r="X28" s="420"/>
      <c r="Y28" s="420"/>
      <c r="Z28" s="420"/>
      <c r="AA28" s="420"/>
      <c r="AB28" s="420"/>
      <c r="AC28" s="420"/>
      <c r="AD28" s="421"/>
      <c r="AE28" s="463">
        <v>2626</v>
      </c>
      <c r="AF28" s="464"/>
      <c r="AG28" s="427" t="s">
        <v>322</v>
      </c>
      <c r="AH28" s="427"/>
      <c r="AI28" s="427"/>
      <c r="AJ28" s="427"/>
    </row>
    <row r="29" spans="2:36" ht="26.25" customHeight="1">
      <c r="B29" s="416">
        <v>4</v>
      </c>
      <c r="C29" s="426"/>
      <c r="D29" s="426"/>
      <c r="E29" s="419" t="s">
        <v>27</v>
      </c>
      <c r="F29" s="419"/>
      <c r="G29" s="419"/>
      <c r="H29" s="419"/>
      <c r="I29" s="419"/>
      <c r="J29" s="419"/>
      <c r="K29" s="419"/>
      <c r="L29" s="295"/>
      <c r="M29" s="419"/>
      <c r="N29" s="419"/>
      <c r="O29" s="419"/>
      <c r="P29" s="419"/>
      <c r="Q29" s="419"/>
      <c r="R29" s="419"/>
      <c r="S29" s="419"/>
      <c r="T29" s="419"/>
      <c r="U29" s="419"/>
      <c r="V29" s="419"/>
      <c r="W29" s="419"/>
      <c r="X29" s="419"/>
      <c r="Y29" s="419"/>
      <c r="Z29" s="419"/>
      <c r="AA29" s="419"/>
      <c r="AB29" s="419"/>
      <c r="AC29" s="419"/>
      <c r="AD29" s="419"/>
      <c r="AE29" s="424" t="s">
        <v>419</v>
      </c>
      <c r="AF29" s="425"/>
    </row>
    <row r="30" spans="2:36" ht="26.25" customHeight="1">
      <c r="B30" s="416">
        <v>5</v>
      </c>
      <c r="C30" s="426"/>
      <c r="D30" s="426"/>
      <c r="E30" s="419" t="s">
        <v>28</v>
      </c>
      <c r="F30" s="419"/>
      <c r="G30" s="419"/>
      <c r="H30" s="419"/>
      <c r="I30" s="419"/>
      <c r="J30" s="419"/>
      <c r="K30" s="419"/>
      <c r="L30" s="295"/>
      <c r="M30" s="419"/>
      <c r="N30" s="419"/>
      <c r="O30" s="419"/>
      <c r="P30" s="419"/>
      <c r="Q30" s="419"/>
      <c r="R30" s="419"/>
      <c r="S30" s="419"/>
      <c r="T30" s="419"/>
      <c r="U30" s="419"/>
      <c r="V30" s="419"/>
      <c r="W30" s="419"/>
      <c r="X30" s="419"/>
      <c r="Y30" s="419"/>
      <c r="Z30" s="419"/>
      <c r="AA30" s="419"/>
      <c r="AB30" s="419"/>
      <c r="AC30" s="419"/>
      <c r="AD30" s="419"/>
      <c r="AE30" s="453">
        <v>45323</v>
      </c>
      <c r="AF30" s="454"/>
    </row>
    <row r="31" spans="2:36" ht="26.25" customHeight="1" thickBot="1">
      <c r="B31" s="373">
        <v>6</v>
      </c>
      <c r="C31" s="374"/>
      <c r="D31" s="375"/>
      <c r="E31" s="399" t="s">
        <v>300</v>
      </c>
      <c r="F31" s="400"/>
      <c r="G31" s="400"/>
      <c r="H31" s="400"/>
      <c r="I31" s="400"/>
      <c r="J31" s="400"/>
      <c r="K31" s="400"/>
      <c r="L31" s="465"/>
      <c r="M31" s="465"/>
      <c r="N31" s="465"/>
      <c r="O31" s="465"/>
      <c r="P31" s="400"/>
      <c r="Q31" s="400"/>
      <c r="R31" s="400"/>
      <c r="S31" s="400"/>
      <c r="T31" s="400"/>
      <c r="U31" s="400"/>
      <c r="V31" s="400"/>
      <c r="W31" s="400"/>
      <c r="X31" s="400"/>
      <c r="Y31" s="400"/>
      <c r="Z31" s="400"/>
      <c r="AA31" s="400"/>
      <c r="AB31" s="400"/>
      <c r="AC31" s="400"/>
      <c r="AD31" s="401"/>
      <c r="AE31" s="466">
        <v>1518</v>
      </c>
      <c r="AF31" s="467"/>
      <c r="AG31" s="1" t="s">
        <v>323</v>
      </c>
    </row>
    <row r="32" spans="2:36" s="55" customFormat="1" ht="13.5" thickBot="1">
      <c r="D32" s="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56"/>
      <c r="AF32" s="57"/>
    </row>
    <row r="33" spans="1:37" ht="24" customHeight="1" thickBot="1">
      <c r="B33" s="518" t="s">
        <v>29</v>
      </c>
      <c r="C33" s="519"/>
      <c r="D33" s="519"/>
      <c r="E33" s="519"/>
      <c r="F33" s="519"/>
      <c r="G33" s="519"/>
      <c r="H33" s="519"/>
      <c r="I33" s="519"/>
      <c r="J33" s="519"/>
      <c r="K33" s="519"/>
      <c r="L33" s="519"/>
      <c r="M33" s="519"/>
      <c r="N33" s="519"/>
      <c r="O33" s="519"/>
      <c r="P33" s="519"/>
      <c r="Q33" s="519"/>
      <c r="R33" s="519"/>
      <c r="S33" s="519"/>
      <c r="T33" s="519"/>
      <c r="U33" s="519"/>
      <c r="V33" s="519"/>
      <c r="W33" s="519"/>
      <c r="X33" s="519"/>
      <c r="Y33" s="519"/>
      <c r="Z33" s="519"/>
      <c r="AA33" s="519"/>
      <c r="AB33" s="519"/>
      <c r="AC33" s="519"/>
      <c r="AD33" s="519"/>
      <c r="AE33" s="519"/>
      <c r="AF33" s="520"/>
    </row>
    <row r="34" spans="1:37" s="55" customFormat="1" ht="13.5" thickBot="1">
      <c r="D34" s="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56"/>
      <c r="AF34" s="57"/>
    </row>
    <row r="35" spans="1:37" ht="18.75" customHeight="1">
      <c r="B35" s="472">
        <v>1</v>
      </c>
      <c r="C35" s="473"/>
      <c r="D35" s="473"/>
      <c r="E35" s="474" t="s">
        <v>325</v>
      </c>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216" t="s">
        <v>31</v>
      </c>
      <c r="AF35" s="217" t="s">
        <v>24</v>
      </c>
    </row>
    <row r="36" spans="1:37" ht="25.5" customHeight="1">
      <c r="B36" s="468" t="s">
        <v>7</v>
      </c>
      <c r="C36" s="284"/>
      <c r="D36" s="284"/>
      <c r="E36" s="295" t="s">
        <v>204</v>
      </c>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179" t="str">
        <f>IF(AF36&lt;AE28,"Salário Base insuficiente!","Salário Base atende a CCT.")</f>
        <v>Salário Base atende a CCT.</v>
      </c>
      <c r="AF36" s="253">
        <v>3413.8</v>
      </c>
      <c r="AG36" s="1" t="s">
        <v>371</v>
      </c>
    </row>
    <row r="37" spans="1:37" ht="21.75" customHeight="1">
      <c r="B37" s="468" t="s">
        <v>9</v>
      </c>
      <c r="C37" s="284"/>
      <c r="D37" s="284"/>
      <c r="E37" s="53" t="s">
        <v>205</v>
      </c>
      <c r="F37" s="4"/>
      <c r="G37" s="4"/>
      <c r="H37" s="4"/>
      <c r="I37" s="4"/>
      <c r="J37" s="4"/>
      <c r="K37" s="4"/>
      <c r="L37" s="4"/>
      <c r="M37" s="4"/>
      <c r="N37" s="4"/>
      <c r="O37" s="4"/>
      <c r="P37" s="4"/>
      <c r="Q37" s="4"/>
      <c r="R37" s="4"/>
      <c r="S37" s="4"/>
      <c r="T37" s="4"/>
      <c r="U37" s="4"/>
      <c r="V37" s="4"/>
      <c r="W37" s="4"/>
      <c r="X37" s="4"/>
      <c r="Y37" s="4"/>
      <c r="Z37" s="4"/>
      <c r="AA37" s="4"/>
      <c r="AB37" s="4"/>
      <c r="AC37" s="4"/>
      <c r="AD37" s="58"/>
      <c r="AE37" s="131">
        <v>0</v>
      </c>
      <c r="AF37" s="230">
        <f>ROUND(AF$36*AE37,2)</f>
        <v>0</v>
      </c>
      <c r="AG37" s="429" t="s">
        <v>370</v>
      </c>
      <c r="AH37" s="432"/>
      <c r="AI37" s="432"/>
      <c r="AJ37" s="432"/>
      <c r="AK37" s="432"/>
    </row>
    <row r="38" spans="1:37" ht="21.75" customHeight="1">
      <c r="B38" s="468" t="s">
        <v>11</v>
      </c>
      <c r="C38" s="284"/>
      <c r="D38" s="284"/>
      <c r="E38" s="475" t="s">
        <v>206</v>
      </c>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127"/>
      <c r="AE38" s="131">
        <v>0</v>
      </c>
      <c r="AF38" s="230">
        <f>IF(AD38&lt;&gt;"",AE38*AF36,AE38*AE$31)</f>
        <v>0</v>
      </c>
      <c r="AG38" s="429"/>
      <c r="AH38" s="432"/>
      <c r="AI38" s="432"/>
      <c r="AJ38" s="432"/>
      <c r="AK38" s="432"/>
    </row>
    <row r="39" spans="1:37" ht="21.75" customHeight="1">
      <c r="B39" s="468" t="s">
        <v>13</v>
      </c>
      <c r="C39" s="284"/>
      <c r="D39" s="284"/>
      <c r="E39" s="53" t="s">
        <v>207</v>
      </c>
      <c r="F39" s="4"/>
      <c r="G39" s="4"/>
      <c r="H39" s="4"/>
      <c r="I39" s="4"/>
      <c r="J39" s="4"/>
      <c r="K39" s="4"/>
      <c r="L39" s="4"/>
      <c r="M39" s="4"/>
      <c r="N39" s="4"/>
      <c r="O39" s="4"/>
      <c r="P39" s="4"/>
      <c r="Q39" s="4"/>
      <c r="R39" s="4"/>
      <c r="S39" s="4"/>
      <c r="T39" s="4"/>
      <c r="U39" s="4"/>
      <c r="V39" s="4"/>
      <c r="W39" s="4"/>
      <c r="X39" s="4"/>
      <c r="Y39" s="4"/>
      <c r="Z39" s="4"/>
      <c r="AA39" s="4"/>
      <c r="AB39" s="4"/>
      <c r="AC39" s="4"/>
      <c r="AD39" s="127">
        <v>0.2</v>
      </c>
      <c r="AE39" s="142">
        <f>IF(AF$36=0,"",AF39/AF$36)</f>
        <v>0.11060108969476828</v>
      </c>
      <c r="AF39" s="230">
        <f>IF(AD39="",0,ROUND((8*(7*4.345))*(((AF$36+AF$37)/220)*AD39)/2,2))</f>
        <v>377.57</v>
      </c>
    </row>
    <row r="40" spans="1:37" ht="21.75" customHeight="1">
      <c r="A40" s="9"/>
      <c r="B40" s="468" t="s">
        <v>37</v>
      </c>
      <c r="C40" s="284"/>
      <c r="D40" s="284"/>
      <c r="E40" s="358" t="s">
        <v>208</v>
      </c>
      <c r="F40" s="358"/>
      <c r="G40" s="358"/>
      <c r="H40" s="358"/>
      <c r="I40" s="358"/>
      <c r="J40" s="358"/>
      <c r="K40" s="358"/>
      <c r="L40" s="358"/>
      <c r="M40" s="358"/>
      <c r="N40" s="358"/>
      <c r="O40" s="358"/>
      <c r="P40" s="358"/>
      <c r="Q40" s="358"/>
      <c r="R40" s="358"/>
      <c r="S40" s="358"/>
      <c r="T40" s="358"/>
      <c r="U40" s="358"/>
      <c r="V40" s="358"/>
      <c r="W40" s="358"/>
      <c r="X40" s="358"/>
      <c r="Y40" s="358"/>
      <c r="Z40" s="358"/>
      <c r="AA40" s="358"/>
      <c r="AB40" s="358"/>
      <c r="AC40" s="358"/>
      <c r="AD40" s="59" t="str">
        <f>IF(AD39&gt;0,"X","")</f>
        <v>X</v>
      </c>
      <c r="AE40" s="142">
        <f>IF(AF$36=0,"",AF40/AF$36)</f>
        <v>6.9125314898353732E-2</v>
      </c>
      <c r="AF40" s="230">
        <f>IF(AD40="",0,ROUND((1*(7*4.345))*((AF$36+AF$37)/220)/2,2))</f>
        <v>235.98</v>
      </c>
      <c r="AG40" s="60"/>
    </row>
    <row r="41" spans="1:37" ht="29.25" customHeight="1">
      <c r="B41" s="468" t="s">
        <v>39</v>
      </c>
      <c r="C41" s="284"/>
      <c r="D41" s="284"/>
      <c r="E41" s="358" t="s">
        <v>209</v>
      </c>
      <c r="F41" s="358"/>
      <c r="G41" s="358"/>
      <c r="H41" s="358"/>
      <c r="I41" s="358"/>
      <c r="J41" s="358"/>
      <c r="K41" s="358"/>
      <c r="L41" s="469" t="s">
        <v>452</v>
      </c>
      <c r="M41" s="469"/>
      <c r="N41" s="469"/>
      <c r="O41" s="469"/>
      <c r="P41" s="469"/>
      <c r="Q41" s="469"/>
      <c r="R41" s="469"/>
      <c r="S41" s="469"/>
      <c r="T41" s="469"/>
      <c r="U41" s="469"/>
      <c r="V41" s="469"/>
      <c r="W41" s="469"/>
      <c r="X41" s="469"/>
      <c r="Y41" s="469"/>
      <c r="Z41" s="469"/>
      <c r="AA41" s="469"/>
      <c r="AB41" s="469"/>
      <c r="AC41" s="469"/>
      <c r="AD41" s="469"/>
      <c r="AE41" s="131">
        <v>0</v>
      </c>
      <c r="AF41" s="230">
        <f>ROUND(AF$36*AE41,2)</f>
        <v>0</v>
      </c>
      <c r="AG41" s="54" t="s">
        <v>370</v>
      </c>
    </row>
    <row r="42" spans="1:37" ht="18.75" customHeight="1" thickBot="1">
      <c r="B42" s="221" t="s">
        <v>45</v>
      </c>
      <c r="C42" s="222"/>
      <c r="D42" s="222"/>
      <c r="E42" s="222"/>
      <c r="F42" s="222"/>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2"/>
      <c r="AE42" s="254"/>
      <c r="AF42" s="224">
        <f>SUM(AF36:AF41)</f>
        <v>4027.3500000000004</v>
      </c>
    </row>
    <row r="43" spans="1:37" ht="17.25" customHeight="1" thickBot="1"/>
    <row r="44" spans="1:37" ht="24" customHeight="1" thickBot="1">
      <c r="B44" s="518" t="s">
        <v>210</v>
      </c>
      <c r="C44" s="519"/>
      <c r="D44" s="519"/>
      <c r="E44" s="519"/>
      <c r="F44" s="519"/>
      <c r="G44" s="519"/>
      <c r="H44" s="519"/>
      <c r="I44" s="519"/>
      <c r="J44" s="519"/>
      <c r="K44" s="519"/>
      <c r="L44" s="519"/>
      <c r="M44" s="519"/>
      <c r="N44" s="519"/>
      <c r="O44" s="519"/>
      <c r="P44" s="519"/>
      <c r="Q44" s="519"/>
      <c r="R44" s="519"/>
      <c r="S44" s="519"/>
      <c r="T44" s="519"/>
      <c r="U44" s="519"/>
      <c r="V44" s="519"/>
      <c r="W44" s="519"/>
      <c r="X44" s="519"/>
      <c r="Y44" s="519"/>
      <c r="Z44" s="519"/>
      <c r="AA44" s="519"/>
      <c r="AB44" s="519"/>
      <c r="AC44" s="519"/>
      <c r="AD44" s="519"/>
      <c r="AE44" s="519"/>
      <c r="AF44" s="520"/>
    </row>
    <row r="45" spans="1:37" ht="11.25" customHeight="1" thickBot="1"/>
    <row r="46" spans="1:37" ht="25.5">
      <c r="A46" s="9"/>
      <c r="B46" s="227" t="s">
        <v>211</v>
      </c>
      <c r="C46" s="228"/>
      <c r="D46" s="228"/>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8"/>
      <c r="AE46" s="470" t="s">
        <v>203</v>
      </c>
      <c r="AF46" s="471"/>
    </row>
    <row r="47" spans="1:37" ht="17.25" customHeight="1">
      <c r="A47" s="9"/>
      <c r="B47" s="476" t="s">
        <v>212</v>
      </c>
      <c r="C47" s="477"/>
      <c r="D47" s="477"/>
      <c r="E47" s="478" t="s">
        <v>213</v>
      </c>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82" t="s">
        <v>31</v>
      </c>
      <c r="AF47" s="229" t="s">
        <v>24</v>
      </c>
    </row>
    <row r="48" spans="1:37" ht="17.25" customHeight="1">
      <c r="B48" s="479" t="s">
        <v>7</v>
      </c>
      <c r="C48" s="480"/>
      <c r="D48" s="480"/>
      <c r="E48" s="481" t="s">
        <v>214</v>
      </c>
      <c r="F48" s="481"/>
      <c r="G48" s="481"/>
      <c r="H48" s="481"/>
      <c r="I48" s="481"/>
      <c r="J48" s="481"/>
      <c r="K48" s="481"/>
      <c r="L48" s="481"/>
      <c r="M48" s="481"/>
      <c r="N48" s="481"/>
      <c r="O48" s="481"/>
      <c r="P48" s="481"/>
      <c r="Q48" s="481"/>
      <c r="R48" s="481"/>
      <c r="S48" s="481"/>
      <c r="T48" s="481"/>
      <c r="U48" s="481"/>
      <c r="V48" s="481"/>
      <c r="W48" s="481"/>
      <c r="X48" s="481"/>
      <c r="Y48" s="481"/>
      <c r="Z48" s="481"/>
      <c r="AA48" s="481"/>
      <c r="AB48" s="481"/>
      <c r="AC48" s="481"/>
      <c r="AD48" s="481"/>
      <c r="AE48" s="142">
        <f>1/12</f>
        <v>8.3333333333333329E-2</v>
      </c>
      <c r="AF48" s="234">
        <f>ROUND(AE48*AF$42,2)</f>
        <v>335.61</v>
      </c>
    </row>
    <row r="49" spans="2:37" ht="17.25" customHeight="1">
      <c r="B49" s="479" t="s">
        <v>9</v>
      </c>
      <c r="C49" s="480"/>
      <c r="D49" s="480"/>
      <c r="E49" s="482" t="s">
        <v>215</v>
      </c>
      <c r="F49" s="482"/>
      <c r="G49" s="482"/>
      <c r="H49" s="482"/>
      <c r="I49" s="482"/>
      <c r="J49" s="482"/>
      <c r="K49" s="482"/>
      <c r="L49" s="482"/>
      <c r="M49" s="482"/>
      <c r="N49" s="482"/>
      <c r="O49" s="482"/>
      <c r="P49" s="482"/>
      <c r="Q49" s="482"/>
      <c r="R49" s="482"/>
      <c r="S49" s="482"/>
      <c r="T49" s="482"/>
      <c r="U49" s="482"/>
      <c r="V49" s="482"/>
      <c r="W49" s="482"/>
      <c r="X49" s="482"/>
      <c r="Y49" s="482"/>
      <c r="Z49" s="482"/>
      <c r="AA49" s="482"/>
      <c r="AB49" s="482"/>
      <c r="AC49" s="482"/>
      <c r="AD49" s="482"/>
      <c r="AE49" s="142">
        <v>0.121</v>
      </c>
      <c r="AF49" s="234">
        <f>ROUND(AE49*AF$42,2)</f>
        <v>487.31</v>
      </c>
    </row>
    <row r="50" spans="2:37" ht="17.25" customHeight="1" thickBot="1">
      <c r="B50" s="483" t="s">
        <v>81</v>
      </c>
      <c r="C50" s="484"/>
      <c r="D50" s="484"/>
      <c r="E50" s="484"/>
      <c r="F50" s="484"/>
      <c r="G50" s="484"/>
      <c r="H50" s="484"/>
      <c r="I50" s="484"/>
      <c r="J50" s="484"/>
      <c r="K50" s="484"/>
      <c r="L50" s="484"/>
      <c r="M50" s="484"/>
      <c r="N50" s="484"/>
      <c r="O50" s="484"/>
      <c r="P50" s="484"/>
      <c r="Q50" s="484"/>
      <c r="R50" s="484"/>
      <c r="S50" s="484"/>
      <c r="T50" s="484"/>
      <c r="U50" s="484"/>
      <c r="V50" s="484"/>
      <c r="W50" s="484"/>
      <c r="X50" s="484"/>
      <c r="Y50" s="484"/>
      <c r="Z50" s="484"/>
      <c r="AA50" s="484"/>
      <c r="AB50" s="484"/>
      <c r="AC50" s="484"/>
      <c r="AD50" s="484"/>
      <c r="AE50" s="250">
        <f>SUM(AE48:AE49)</f>
        <v>0.20433333333333331</v>
      </c>
      <c r="AF50" s="245">
        <f>SUM(AF48:AF49)</f>
        <v>822.92000000000007</v>
      </c>
    </row>
    <row r="51" spans="2:37" ht="15" customHeight="1" thickBot="1"/>
    <row r="52" spans="2:37" ht="26.25" thickBot="1">
      <c r="B52" s="227" t="s">
        <v>216</v>
      </c>
      <c r="C52" s="228"/>
      <c r="D52" s="228"/>
      <c r="E52" s="228"/>
      <c r="F52" s="228"/>
      <c r="G52" s="228"/>
      <c r="H52" s="228"/>
      <c r="I52" s="228"/>
      <c r="J52" s="228"/>
      <c r="K52" s="228"/>
      <c r="L52" s="228"/>
      <c r="M52" s="228"/>
      <c r="N52" s="228"/>
      <c r="O52" s="228"/>
      <c r="P52" s="228"/>
      <c r="Q52" s="228"/>
      <c r="R52" s="228"/>
      <c r="S52" s="228"/>
      <c r="T52" s="228"/>
      <c r="U52" s="228"/>
      <c r="V52" s="228"/>
      <c r="W52" s="228"/>
      <c r="X52" s="228"/>
      <c r="Y52" s="228"/>
      <c r="Z52" s="228"/>
      <c r="AA52" s="228"/>
      <c r="AB52" s="228"/>
      <c r="AC52" s="228"/>
      <c r="AD52" s="228"/>
      <c r="AE52" s="237" t="s">
        <v>217</v>
      </c>
      <c r="AF52" s="105">
        <f>AF42+AF50</f>
        <v>4850.2700000000004</v>
      </c>
    </row>
    <row r="53" spans="2:37" ht="17.25" customHeight="1">
      <c r="B53" s="476" t="s">
        <v>218</v>
      </c>
      <c r="C53" s="477"/>
      <c r="D53" s="477"/>
      <c r="E53" s="478" t="s">
        <v>219</v>
      </c>
      <c r="F53" s="478"/>
      <c r="G53" s="478"/>
      <c r="H53" s="478"/>
      <c r="I53" s="478"/>
      <c r="J53" s="478"/>
      <c r="K53" s="478"/>
      <c r="L53" s="478"/>
      <c r="M53" s="478"/>
      <c r="N53" s="478"/>
      <c r="O53" s="478"/>
      <c r="P53" s="478"/>
      <c r="Q53" s="478"/>
      <c r="R53" s="478"/>
      <c r="S53" s="478"/>
      <c r="T53" s="478"/>
      <c r="U53" s="478"/>
      <c r="V53" s="478"/>
      <c r="W53" s="478"/>
      <c r="X53" s="478"/>
      <c r="Y53" s="478"/>
      <c r="Z53" s="478"/>
      <c r="AA53" s="478"/>
      <c r="AB53" s="478"/>
      <c r="AC53" s="478"/>
      <c r="AD53" s="478"/>
      <c r="AE53" s="83" t="s">
        <v>31</v>
      </c>
      <c r="AF53" s="249" t="s">
        <v>24</v>
      </c>
    </row>
    <row r="54" spans="2:37" ht="17.25" customHeight="1">
      <c r="B54" s="479" t="s">
        <v>7</v>
      </c>
      <c r="C54" s="480"/>
      <c r="D54" s="480"/>
      <c r="E54" s="485" t="s">
        <v>67</v>
      </c>
      <c r="F54" s="485"/>
      <c r="G54" s="486" t="s">
        <v>220</v>
      </c>
      <c r="H54" s="486"/>
      <c r="I54" s="486"/>
      <c r="J54" s="486"/>
      <c r="K54" s="486"/>
      <c r="L54" s="486"/>
      <c r="M54" s="486"/>
      <c r="N54" s="486"/>
      <c r="O54" s="486"/>
      <c r="P54" s="486"/>
      <c r="Q54" s="486"/>
      <c r="R54" s="486"/>
      <c r="S54" s="486"/>
      <c r="T54" s="486"/>
      <c r="U54" s="486"/>
      <c r="V54" s="486"/>
      <c r="W54" s="486"/>
      <c r="X54" s="486"/>
      <c r="Y54" s="486"/>
      <c r="Z54" s="486"/>
      <c r="AA54" s="486"/>
      <c r="AB54" s="486"/>
      <c r="AC54" s="486"/>
      <c r="AD54" s="127"/>
      <c r="AE54" s="131">
        <f>IF(AD54="",0.2,0)</f>
        <v>0.2</v>
      </c>
      <c r="AF54" s="234">
        <f>ROUND(AE54*AF$52,2)</f>
        <v>970.05</v>
      </c>
      <c r="AG54" s="429" t="s">
        <v>372</v>
      </c>
      <c r="AH54" s="430"/>
      <c r="AI54" s="430"/>
      <c r="AJ54" s="430"/>
      <c r="AK54" s="430"/>
    </row>
    <row r="55" spans="2:37" ht="17.25" customHeight="1">
      <c r="B55" s="479" t="s">
        <v>9</v>
      </c>
      <c r="C55" s="480"/>
      <c r="D55" s="480"/>
      <c r="E55" s="481" t="s">
        <v>71</v>
      </c>
      <c r="F55" s="481"/>
      <c r="G55" s="481"/>
      <c r="H55" s="481"/>
      <c r="I55" s="481"/>
      <c r="J55" s="481"/>
      <c r="K55" s="481"/>
      <c r="L55" s="481"/>
      <c r="M55" s="481"/>
      <c r="N55" s="481"/>
      <c r="O55" s="481"/>
      <c r="P55" s="481"/>
      <c r="Q55" s="481"/>
      <c r="R55" s="481"/>
      <c r="S55" s="481"/>
      <c r="T55" s="481"/>
      <c r="U55" s="481"/>
      <c r="V55" s="481"/>
      <c r="W55" s="481"/>
      <c r="X55" s="481"/>
      <c r="Y55" s="481"/>
      <c r="Z55" s="481"/>
      <c r="AA55" s="481"/>
      <c r="AB55" s="481"/>
      <c r="AC55" s="481"/>
      <c r="AD55" s="481"/>
      <c r="AE55" s="131">
        <v>2.5000000000000001E-2</v>
      </c>
      <c r="AF55" s="234">
        <f t="shared" ref="AF55:AF62" si="0">ROUND(AE55*AF$52,2)</f>
        <v>121.26</v>
      </c>
      <c r="AG55" s="431"/>
      <c r="AH55" s="430"/>
      <c r="AI55" s="430"/>
      <c r="AJ55" s="430"/>
      <c r="AK55" s="430"/>
    </row>
    <row r="56" spans="2:37" ht="17.25" customHeight="1">
      <c r="B56" s="479" t="s">
        <v>11</v>
      </c>
      <c r="C56" s="480"/>
      <c r="D56" s="480"/>
      <c r="E56" s="487" t="s">
        <v>221</v>
      </c>
      <c r="F56" s="487"/>
      <c r="G56" s="487"/>
      <c r="H56" s="487"/>
      <c r="I56" s="487"/>
      <c r="J56" s="487"/>
      <c r="K56" s="487"/>
      <c r="L56" s="487"/>
      <c r="M56" s="487"/>
      <c r="N56" s="487"/>
      <c r="O56" s="487"/>
      <c r="P56" s="487"/>
      <c r="Q56" s="487"/>
      <c r="R56" s="487"/>
      <c r="S56" s="487"/>
      <c r="T56" s="487"/>
      <c r="U56" s="487"/>
      <c r="V56" s="487"/>
      <c r="W56" s="487"/>
      <c r="X56" s="487"/>
      <c r="Y56" s="487"/>
      <c r="Z56" s="487"/>
      <c r="AA56" s="487"/>
      <c r="AB56" s="487"/>
      <c r="AC56" s="487"/>
      <c r="AD56" s="487"/>
      <c r="AE56" s="131">
        <v>0.03</v>
      </c>
      <c r="AF56" s="234">
        <f t="shared" si="0"/>
        <v>145.51</v>
      </c>
      <c r="AG56" s="431"/>
      <c r="AH56" s="430"/>
      <c r="AI56" s="430"/>
      <c r="AJ56" s="430"/>
      <c r="AK56" s="430"/>
    </row>
    <row r="57" spans="2:37" ht="17.25" customHeight="1">
      <c r="B57" s="479" t="s">
        <v>13</v>
      </c>
      <c r="C57" s="480"/>
      <c r="D57" s="480"/>
      <c r="E57" s="481" t="s">
        <v>222</v>
      </c>
      <c r="F57" s="481"/>
      <c r="G57" s="481"/>
      <c r="H57" s="481"/>
      <c r="I57" s="481"/>
      <c r="J57" s="481"/>
      <c r="K57" s="481"/>
      <c r="L57" s="481"/>
      <c r="M57" s="481"/>
      <c r="N57" s="481"/>
      <c r="O57" s="481"/>
      <c r="P57" s="481"/>
      <c r="Q57" s="481"/>
      <c r="R57" s="481"/>
      <c r="S57" s="481"/>
      <c r="T57" s="481"/>
      <c r="U57" s="481"/>
      <c r="V57" s="481"/>
      <c r="W57" s="481"/>
      <c r="X57" s="481"/>
      <c r="Y57" s="481"/>
      <c r="Z57" s="481"/>
      <c r="AA57" s="481"/>
      <c r="AB57" s="481"/>
      <c r="AC57" s="481"/>
      <c r="AD57" s="481"/>
      <c r="AE57" s="131">
        <v>1.4999999999999999E-2</v>
      </c>
      <c r="AF57" s="234">
        <f t="shared" si="0"/>
        <v>72.75</v>
      </c>
      <c r="AG57" s="431"/>
      <c r="AH57" s="430"/>
      <c r="AI57" s="430"/>
      <c r="AJ57" s="430"/>
      <c r="AK57" s="430"/>
    </row>
    <row r="58" spans="2:37" ht="17.25" customHeight="1">
      <c r="B58" s="479" t="s">
        <v>37</v>
      </c>
      <c r="C58" s="480"/>
      <c r="D58" s="480"/>
      <c r="E58" s="481" t="s">
        <v>223</v>
      </c>
      <c r="F58" s="481"/>
      <c r="G58" s="481"/>
      <c r="H58" s="481"/>
      <c r="I58" s="481"/>
      <c r="J58" s="481"/>
      <c r="K58" s="481"/>
      <c r="L58" s="481"/>
      <c r="M58" s="481"/>
      <c r="N58" s="481"/>
      <c r="O58" s="481"/>
      <c r="P58" s="481"/>
      <c r="Q58" s="481"/>
      <c r="R58" s="481"/>
      <c r="S58" s="481"/>
      <c r="T58" s="481"/>
      <c r="U58" s="481"/>
      <c r="V58" s="481"/>
      <c r="W58" s="481"/>
      <c r="X58" s="481"/>
      <c r="Y58" s="481"/>
      <c r="Z58" s="481"/>
      <c r="AA58" s="481"/>
      <c r="AB58" s="481"/>
      <c r="AC58" s="481"/>
      <c r="AD58" s="481"/>
      <c r="AE58" s="131">
        <v>0.01</v>
      </c>
      <c r="AF58" s="234">
        <f t="shared" si="0"/>
        <v>48.5</v>
      </c>
      <c r="AG58" s="431"/>
      <c r="AH58" s="430"/>
      <c r="AI58" s="430"/>
      <c r="AJ58" s="430"/>
      <c r="AK58" s="430"/>
    </row>
    <row r="59" spans="2:37" ht="17.25" customHeight="1">
      <c r="B59" s="479" t="s">
        <v>39</v>
      </c>
      <c r="C59" s="480"/>
      <c r="D59" s="480"/>
      <c r="E59" s="481" t="s">
        <v>74</v>
      </c>
      <c r="F59" s="481"/>
      <c r="G59" s="481"/>
      <c r="H59" s="481"/>
      <c r="I59" s="481"/>
      <c r="J59" s="481"/>
      <c r="K59" s="481"/>
      <c r="L59" s="481"/>
      <c r="M59" s="481"/>
      <c r="N59" s="481"/>
      <c r="O59" s="481"/>
      <c r="P59" s="481"/>
      <c r="Q59" s="481"/>
      <c r="R59" s="481"/>
      <c r="S59" s="481"/>
      <c r="T59" s="481"/>
      <c r="U59" s="481"/>
      <c r="V59" s="481"/>
      <c r="W59" s="481"/>
      <c r="X59" s="481"/>
      <c r="Y59" s="481"/>
      <c r="Z59" s="481"/>
      <c r="AA59" s="481"/>
      <c r="AB59" s="481"/>
      <c r="AC59" s="481"/>
      <c r="AD59" s="481"/>
      <c r="AE59" s="131">
        <v>6.0000000000000001E-3</v>
      </c>
      <c r="AF59" s="234">
        <f t="shared" si="0"/>
        <v>29.1</v>
      </c>
      <c r="AG59" s="431"/>
      <c r="AH59" s="430"/>
      <c r="AI59" s="430"/>
      <c r="AJ59" s="430"/>
      <c r="AK59" s="430"/>
    </row>
    <row r="60" spans="2:37" ht="17.25" customHeight="1">
      <c r="B60" s="479" t="s">
        <v>41</v>
      </c>
      <c r="C60" s="480"/>
      <c r="D60" s="480"/>
      <c r="E60" s="481" t="s">
        <v>70</v>
      </c>
      <c r="F60" s="481"/>
      <c r="G60" s="481"/>
      <c r="H60" s="481"/>
      <c r="I60" s="481"/>
      <c r="J60" s="481"/>
      <c r="K60" s="481"/>
      <c r="L60" s="481"/>
      <c r="M60" s="481"/>
      <c r="N60" s="481"/>
      <c r="O60" s="481"/>
      <c r="P60" s="481"/>
      <c r="Q60" s="481"/>
      <c r="R60" s="481"/>
      <c r="S60" s="481"/>
      <c r="T60" s="481"/>
      <c r="U60" s="481"/>
      <c r="V60" s="481"/>
      <c r="W60" s="481"/>
      <c r="X60" s="481"/>
      <c r="Y60" s="481"/>
      <c r="Z60" s="481"/>
      <c r="AA60" s="481"/>
      <c r="AB60" s="481"/>
      <c r="AC60" s="481"/>
      <c r="AD60" s="481"/>
      <c r="AE60" s="131">
        <v>2E-3</v>
      </c>
      <c r="AF60" s="234">
        <f t="shared" si="0"/>
        <v>9.6999999999999993</v>
      </c>
      <c r="AG60" s="431"/>
      <c r="AH60" s="430"/>
      <c r="AI60" s="430"/>
      <c r="AJ60" s="430"/>
      <c r="AK60" s="430"/>
    </row>
    <row r="61" spans="2:37" ht="17.25" customHeight="1">
      <c r="B61" s="479" t="s">
        <v>43</v>
      </c>
      <c r="C61" s="480"/>
      <c r="D61" s="480"/>
      <c r="E61" s="481" t="s">
        <v>72</v>
      </c>
      <c r="F61" s="481"/>
      <c r="G61" s="481"/>
      <c r="H61" s="481"/>
      <c r="I61" s="481"/>
      <c r="J61" s="481"/>
      <c r="K61" s="481"/>
      <c r="L61" s="481"/>
      <c r="M61" s="481"/>
      <c r="N61" s="481"/>
      <c r="O61" s="481"/>
      <c r="P61" s="481"/>
      <c r="Q61" s="481"/>
      <c r="R61" s="481"/>
      <c r="S61" s="481"/>
      <c r="T61" s="481"/>
      <c r="U61" s="481"/>
      <c r="V61" s="481"/>
      <c r="W61" s="481"/>
      <c r="X61" s="481"/>
      <c r="Y61" s="481"/>
      <c r="Z61" s="481"/>
      <c r="AA61" s="481"/>
      <c r="AB61" s="481"/>
      <c r="AC61" s="481"/>
      <c r="AD61" s="481"/>
      <c r="AE61" s="131">
        <v>0.08</v>
      </c>
      <c r="AF61" s="234">
        <f t="shared" si="0"/>
        <v>388.02</v>
      </c>
      <c r="AG61" s="431"/>
      <c r="AH61" s="430"/>
      <c r="AI61" s="430"/>
      <c r="AJ61" s="430"/>
      <c r="AK61" s="430"/>
    </row>
    <row r="62" spans="2:37" ht="17.25" customHeight="1">
      <c r="B62" s="479" t="s">
        <v>324</v>
      </c>
      <c r="C62" s="480"/>
      <c r="D62" s="480"/>
      <c r="E62" s="358" t="s">
        <v>209</v>
      </c>
      <c r="F62" s="359"/>
      <c r="G62" s="359"/>
      <c r="H62" s="359"/>
      <c r="I62" s="359"/>
      <c r="J62" s="359"/>
      <c r="K62" s="359"/>
      <c r="L62" s="490"/>
      <c r="M62" s="490"/>
      <c r="N62" s="490"/>
      <c r="O62" s="490"/>
      <c r="P62" s="490"/>
      <c r="Q62" s="490"/>
      <c r="R62" s="490"/>
      <c r="S62" s="490"/>
      <c r="T62" s="490"/>
      <c r="U62" s="490"/>
      <c r="V62" s="490"/>
      <c r="W62" s="490"/>
      <c r="X62" s="490"/>
      <c r="Y62" s="490"/>
      <c r="Z62" s="490"/>
      <c r="AA62" s="490"/>
      <c r="AB62" s="490"/>
      <c r="AC62" s="490"/>
      <c r="AD62" s="469"/>
      <c r="AE62" s="131"/>
      <c r="AF62" s="234">
        <f t="shared" si="0"/>
        <v>0</v>
      </c>
      <c r="AG62" s="431"/>
      <c r="AH62" s="430"/>
      <c r="AI62" s="430"/>
      <c r="AJ62" s="430"/>
      <c r="AK62" s="430"/>
    </row>
    <row r="63" spans="2:37" ht="17.25" customHeight="1" thickBot="1">
      <c r="B63" s="488" t="s">
        <v>75</v>
      </c>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250">
        <f>SUM(AE54:AE62)</f>
        <v>0.36800000000000005</v>
      </c>
      <c r="AF63" s="251">
        <f>SUM(AF54:AF62)</f>
        <v>1784.8899999999999</v>
      </c>
    </row>
    <row r="64" spans="2:37" ht="15" customHeight="1" thickBot="1"/>
    <row r="65" spans="1:57" ht="18" customHeight="1">
      <c r="B65" s="227" t="s">
        <v>224</v>
      </c>
      <c r="C65" s="228"/>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470" t="s">
        <v>203</v>
      </c>
      <c r="AF65" s="471"/>
    </row>
    <row r="66" spans="1:57" ht="18" customHeight="1">
      <c r="B66" s="476" t="s">
        <v>225</v>
      </c>
      <c r="C66" s="477"/>
      <c r="D66" s="477"/>
      <c r="E66" s="478" t="s">
        <v>47</v>
      </c>
      <c r="F66" s="478"/>
      <c r="G66" s="478"/>
      <c r="H66" s="478"/>
      <c r="I66" s="478"/>
      <c r="J66" s="478"/>
      <c r="K66" s="478"/>
      <c r="L66" s="478"/>
      <c r="M66" s="478"/>
      <c r="N66" s="478"/>
      <c r="O66" s="478"/>
      <c r="P66" s="478"/>
      <c r="Q66" s="478"/>
      <c r="R66" s="478"/>
      <c r="S66" s="478"/>
      <c r="T66" s="478"/>
      <c r="U66" s="478"/>
      <c r="V66" s="478"/>
      <c r="W66" s="478"/>
      <c r="X66" s="478"/>
      <c r="Y66" s="478"/>
      <c r="Z66" s="478"/>
      <c r="AA66" s="478"/>
      <c r="AB66" s="478"/>
      <c r="AC66" s="478"/>
      <c r="AD66" s="478"/>
      <c r="AE66" s="82" t="s">
        <v>33</v>
      </c>
      <c r="AF66" s="229" t="s">
        <v>24</v>
      </c>
    </row>
    <row r="67" spans="1:57" ht="18" customHeight="1">
      <c r="B67" s="468" t="s">
        <v>7</v>
      </c>
      <c r="C67" s="284"/>
      <c r="D67" s="284"/>
      <c r="E67" s="358" t="s">
        <v>326</v>
      </c>
      <c r="F67" s="358"/>
      <c r="G67" s="358"/>
      <c r="H67" s="358"/>
      <c r="I67" s="358"/>
      <c r="J67" s="358"/>
      <c r="K67" s="358"/>
      <c r="L67" s="358"/>
      <c r="M67" s="358"/>
      <c r="N67" s="358"/>
      <c r="O67" s="358"/>
      <c r="P67" s="358"/>
      <c r="Q67" s="358"/>
      <c r="R67" s="358"/>
      <c r="S67" s="358"/>
      <c r="T67" s="358"/>
      <c r="U67" s="358"/>
      <c r="V67" s="358"/>
      <c r="W67" s="358"/>
      <c r="X67" s="358"/>
      <c r="Y67" s="358"/>
      <c r="Z67" s="358"/>
      <c r="AA67" s="358"/>
      <c r="AB67" s="358"/>
      <c r="AC67" s="358"/>
      <c r="AD67" s="61" t="s">
        <v>226</v>
      </c>
      <c r="AE67" s="129"/>
      <c r="AF67" s="491">
        <f>ROUND(IF((IF(AE67="",0,(((AE67*AE68)-(0.06*AF36)))))&lt;0,0,IF(AE67="",0,(((AE67*AE68)-(0.06*AF36))))),2)</f>
        <v>0</v>
      </c>
      <c r="AG67" s="428" t="s">
        <v>373</v>
      </c>
      <c r="AH67" s="428"/>
      <c r="AI67" s="428"/>
      <c r="AJ67" s="428"/>
      <c r="AK67" s="139"/>
      <c r="AL67" s="139"/>
      <c r="AM67" s="139"/>
      <c r="AN67" s="139"/>
      <c r="AO67" s="139"/>
      <c r="AP67" s="139"/>
      <c r="AQ67" s="139"/>
      <c r="AR67" s="139"/>
      <c r="AS67" s="139"/>
      <c r="AT67" s="139"/>
      <c r="AU67" s="139"/>
      <c r="AV67" s="139"/>
      <c r="AW67" s="139"/>
      <c r="AX67" s="139"/>
      <c r="AY67" s="139"/>
      <c r="AZ67" s="139"/>
      <c r="BA67" s="139"/>
      <c r="BB67" s="139"/>
      <c r="BC67" s="139"/>
      <c r="BD67" s="139"/>
      <c r="BE67" s="139"/>
    </row>
    <row r="68" spans="1:57" ht="18" customHeight="1">
      <c r="B68" s="468"/>
      <c r="C68" s="284"/>
      <c r="D68" s="284"/>
      <c r="E68" s="358"/>
      <c r="F68" s="358"/>
      <c r="G68" s="358"/>
      <c r="H68" s="358"/>
      <c r="I68" s="358"/>
      <c r="J68" s="358"/>
      <c r="K68" s="358"/>
      <c r="L68" s="358"/>
      <c r="M68" s="358"/>
      <c r="N68" s="358"/>
      <c r="O68" s="358"/>
      <c r="P68" s="358"/>
      <c r="Q68" s="358"/>
      <c r="R68" s="358"/>
      <c r="S68" s="358"/>
      <c r="T68" s="358"/>
      <c r="U68" s="358"/>
      <c r="V68" s="358"/>
      <c r="W68" s="358"/>
      <c r="X68" s="358"/>
      <c r="Y68" s="358"/>
      <c r="Z68" s="358"/>
      <c r="AA68" s="358"/>
      <c r="AB68" s="358"/>
      <c r="AC68" s="358"/>
      <c r="AD68" s="61" t="s">
        <v>227</v>
      </c>
      <c r="AE68" s="130"/>
      <c r="AF68" s="491"/>
      <c r="AG68" s="428"/>
      <c r="AH68" s="428"/>
      <c r="AI68" s="428"/>
      <c r="AJ68" s="428"/>
      <c r="AK68" s="139"/>
      <c r="AL68" s="139"/>
      <c r="AM68" s="139"/>
      <c r="AN68" s="139"/>
      <c r="AO68" s="139"/>
      <c r="AP68" s="139"/>
      <c r="AQ68" s="139"/>
      <c r="AR68" s="139"/>
      <c r="AS68" s="139"/>
      <c r="AT68" s="139"/>
      <c r="AU68" s="139"/>
      <c r="AV68" s="139"/>
      <c r="AW68" s="139"/>
      <c r="AX68" s="139"/>
      <c r="AY68" s="139"/>
      <c r="AZ68" s="139"/>
      <c r="BA68" s="139"/>
      <c r="BB68" s="139"/>
      <c r="BC68" s="139"/>
      <c r="BD68" s="139"/>
      <c r="BE68" s="139"/>
    </row>
    <row r="69" spans="1:57" ht="18" customHeight="1">
      <c r="B69" s="468" t="s">
        <v>9</v>
      </c>
      <c r="C69" s="284"/>
      <c r="D69" s="284"/>
      <c r="E69" s="358" t="s">
        <v>228</v>
      </c>
      <c r="F69" s="358"/>
      <c r="G69" s="358"/>
      <c r="H69" s="358"/>
      <c r="I69" s="358"/>
      <c r="J69" s="358"/>
      <c r="K69" s="358"/>
      <c r="L69" s="358"/>
      <c r="M69" s="358"/>
      <c r="N69" s="358"/>
      <c r="O69" s="358"/>
      <c r="P69" s="358"/>
      <c r="Q69" s="358"/>
      <c r="R69" s="358"/>
      <c r="S69" s="358"/>
      <c r="T69" s="358"/>
      <c r="U69" s="358"/>
      <c r="V69" s="358"/>
      <c r="W69" s="358"/>
      <c r="X69" s="358"/>
      <c r="Y69" s="358"/>
      <c r="Z69" s="358"/>
      <c r="AA69" s="358"/>
      <c r="AB69" s="358"/>
      <c r="AC69" s="358"/>
      <c r="AD69" s="61" t="s">
        <v>229</v>
      </c>
      <c r="AE69" s="130">
        <f>15*52.09</f>
        <v>781.35</v>
      </c>
      <c r="AF69" s="491">
        <f>ROUND(AE69-(AE69*AE70),2)</f>
        <v>625.08000000000004</v>
      </c>
      <c r="AG69" s="428"/>
      <c r="AH69" s="428"/>
      <c r="AI69" s="428"/>
      <c r="AJ69" s="428"/>
    </row>
    <row r="70" spans="1:57" ht="18" customHeight="1">
      <c r="B70" s="468"/>
      <c r="C70" s="284"/>
      <c r="D70" s="284"/>
      <c r="E70" s="358"/>
      <c r="F70" s="358"/>
      <c r="G70" s="358"/>
      <c r="H70" s="358"/>
      <c r="I70" s="358"/>
      <c r="J70" s="358"/>
      <c r="K70" s="358"/>
      <c r="L70" s="358"/>
      <c r="M70" s="358"/>
      <c r="N70" s="358"/>
      <c r="O70" s="358"/>
      <c r="P70" s="358"/>
      <c r="Q70" s="358"/>
      <c r="R70" s="358"/>
      <c r="S70" s="358"/>
      <c r="T70" s="358"/>
      <c r="U70" s="358"/>
      <c r="V70" s="358"/>
      <c r="W70" s="358"/>
      <c r="X70" s="358"/>
      <c r="Y70" s="358"/>
      <c r="Z70" s="358"/>
      <c r="AA70" s="358"/>
      <c r="AB70" s="358"/>
      <c r="AC70" s="358"/>
      <c r="AD70" s="61" t="s">
        <v>230</v>
      </c>
      <c r="AE70" s="131">
        <v>0.2</v>
      </c>
      <c r="AF70" s="491"/>
      <c r="AG70" s="428"/>
      <c r="AH70" s="428"/>
      <c r="AI70" s="428"/>
      <c r="AJ70" s="428"/>
    </row>
    <row r="71" spans="1:57" ht="18" customHeight="1">
      <c r="B71" s="468" t="s">
        <v>11</v>
      </c>
      <c r="C71" s="284"/>
      <c r="D71" s="284"/>
      <c r="E71" s="300" t="s">
        <v>231</v>
      </c>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141">
        <v>0.41920000000000002</v>
      </c>
      <c r="AF71" s="226">
        <v>90</v>
      </c>
      <c r="AG71" s="428"/>
      <c r="AH71" s="428"/>
      <c r="AI71" s="428"/>
      <c r="AJ71" s="428"/>
    </row>
    <row r="72" spans="1:57" ht="18" customHeight="1">
      <c r="B72" s="468" t="s">
        <v>13</v>
      </c>
      <c r="C72" s="284"/>
      <c r="D72" s="284"/>
      <c r="E72" s="300" t="s">
        <v>232</v>
      </c>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300"/>
      <c r="AE72" s="127" t="s">
        <v>198</v>
      </c>
      <c r="AF72" s="234">
        <f>IF(OR(AE21="",AE72=""),0,ROUND((AF42/220*1.5)*(7*4.345)/2,2))</f>
        <v>417.59</v>
      </c>
      <c r="AG72" s="428"/>
      <c r="AH72" s="428"/>
      <c r="AI72" s="428"/>
      <c r="AJ72" s="428"/>
      <c r="AK72" s="62"/>
    </row>
    <row r="73" spans="1:57" ht="18" customHeight="1">
      <c r="B73" s="468" t="s">
        <v>37</v>
      </c>
      <c r="C73" s="284"/>
      <c r="D73" s="284"/>
      <c r="E73" s="300" t="s">
        <v>52</v>
      </c>
      <c r="F73" s="300"/>
      <c r="G73" s="300"/>
      <c r="H73" s="300"/>
      <c r="I73" s="300"/>
      <c r="J73" s="300"/>
      <c r="K73" s="300"/>
      <c r="L73" s="300"/>
      <c r="M73" s="300"/>
      <c r="N73" s="300"/>
      <c r="O73" s="300"/>
      <c r="P73" s="300"/>
      <c r="Q73" s="300"/>
      <c r="R73" s="300"/>
      <c r="S73" s="300"/>
      <c r="T73" s="300"/>
      <c r="U73" s="300"/>
      <c r="V73" s="300"/>
      <c r="W73" s="300"/>
      <c r="X73" s="300"/>
      <c r="Y73" s="300"/>
      <c r="Z73" s="300"/>
      <c r="AA73" s="300"/>
      <c r="AB73" s="300"/>
      <c r="AC73" s="300"/>
      <c r="AD73" s="300"/>
      <c r="AE73" s="140"/>
      <c r="AF73" s="226">
        <v>0</v>
      </c>
      <c r="AG73" s="428"/>
      <c r="AH73" s="428"/>
      <c r="AI73" s="428"/>
      <c r="AJ73" s="428"/>
    </row>
    <row r="74" spans="1:57" ht="18" customHeight="1">
      <c r="B74" s="468" t="s">
        <v>43</v>
      </c>
      <c r="C74" s="284"/>
      <c r="D74" s="284"/>
      <c r="E74" s="358" t="s">
        <v>233</v>
      </c>
      <c r="F74" s="358"/>
      <c r="G74" s="358"/>
      <c r="H74" s="492" t="s">
        <v>327</v>
      </c>
      <c r="I74" s="492"/>
      <c r="J74" s="492"/>
      <c r="K74" s="492"/>
      <c r="L74" s="492"/>
      <c r="M74" s="492"/>
      <c r="N74" s="492"/>
      <c r="O74" s="492"/>
      <c r="P74" s="492"/>
      <c r="Q74" s="492"/>
      <c r="R74" s="492"/>
      <c r="S74" s="492"/>
      <c r="T74" s="492"/>
      <c r="U74" s="492"/>
      <c r="V74" s="492"/>
      <c r="W74" s="492"/>
      <c r="X74" s="492"/>
      <c r="Y74" s="492"/>
      <c r="Z74" s="492"/>
      <c r="AA74" s="492"/>
      <c r="AB74" s="492"/>
      <c r="AC74" s="492"/>
      <c r="AD74" s="492"/>
      <c r="AE74" s="140"/>
      <c r="AF74" s="226">
        <v>0</v>
      </c>
      <c r="AG74" s="428"/>
      <c r="AH74" s="428"/>
      <c r="AI74" s="428"/>
      <c r="AJ74" s="428"/>
    </row>
    <row r="75" spans="1:57" ht="18" customHeight="1" thickBot="1">
      <c r="A75" s="9"/>
      <c r="B75" s="221" t="s">
        <v>54</v>
      </c>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222"/>
      <c r="AB75" s="222"/>
      <c r="AC75" s="222"/>
      <c r="AD75" s="222"/>
      <c r="AE75" s="244"/>
      <c r="AF75" s="245">
        <f>SUM(AF67:AF73)</f>
        <v>1132.67</v>
      </c>
    </row>
    <row r="76" spans="1:57" ht="13.5" thickBot="1">
      <c r="AI76" s="10"/>
    </row>
    <row r="77" spans="1:57" ht="15.75" customHeight="1">
      <c r="B77" s="246" t="s">
        <v>234</v>
      </c>
      <c r="C77" s="247"/>
      <c r="D77" s="247"/>
      <c r="E77" s="247"/>
      <c r="F77" s="247"/>
      <c r="G77" s="247"/>
      <c r="H77" s="247"/>
      <c r="I77" s="247"/>
      <c r="J77" s="247"/>
      <c r="K77" s="247"/>
      <c r="L77" s="247"/>
      <c r="M77" s="247"/>
      <c r="N77" s="247"/>
      <c r="O77" s="247"/>
      <c r="P77" s="247"/>
      <c r="Q77" s="247"/>
      <c r="R77" s="247"/>
      <c r="S77" s="247"/>
      <c r="T77" s="247"/>
      <c r="U77" s="247"/>
      <c r="V77" s="247"/>
      <c r="W77" s="247"/>
      <c r="X77" s="247"/>
      <c r="Y77" s="247"/>
      <c r="Z77" s="247"/>
      <c r="AA77" s="247"/>
      <c r="AB77" s="247"/>
      <c r="AC77" s="247"/>
      <c r="AD77" s="247"/>
      <c r="AE77" s="470" t="s">
        <v>203</v>
      </c>
      <c r="AF77" s="471"/>
    </row>
    <row r="78" spans="1:57" ht="15.75" customHeight="1">
      <c r="B78" s="493">
        <v>2</v>
      </c>
      <c r="C78" s="494"/>
      <c r="D78" s="494"/>
      <c r="E78" s="495" t="s">
        <v>235</v>
      </c>
      <c r="F78" s="495"/>
      <c r="G78" s="495"/>
      <c r="H78" s="495"/>
      <c r="I78" s="495"/>
      <c r="J78" s="495"/>
      <c r="K78" s="495"/>
      <c r="L78" s="495"/>
      <c r="M78" s="495"/>
      <c r="N78" s="495"/>
      <c r="O78" s="495"/>
      <c r="P78" s="495"/>
      <c r="Q78" s="495"/>
      <c r="R78" s="495"/>
      <c r="S78" s="495"/>
      <c r="T78" s="495"/>
      <c r="U78" s="495"/>
      <c r="V78" s="495"/>
      <c r="W78" s="495"/>
      <c r="X78" s="495"/>
      <c r="Y78" s="495"/>
      <c r="Z78" s="495"/>
      <c r="AA78" s="495"/>
      <c r="AB78" s="495"/>
      <c r="AC78" s="495"/>
      <c r="AD78" s="495"/>
      <c r="AE78" s="100" t="s">
        <v>31</v>
      </c>
      <c r="AF78" s="248" t="s">
        <v>164</v>
      </c>
    </row>
    <row r="79" spans="1:57" ht="15.75" customHeight="1">
      <c r="B79" s="479" t="s">
        <v>212</v>
      </c>
      <c r="C79" s="480"/>
      <c r="D79" s="480"/>
      <c r="E79" s="481" t="str">
        <f>E47</f>
        <v>13º Salário, Férias e Adicional de Férias</v>
      </c>
      <c r="F79" s="481"/>
      <c r="G79" s="481"/>
      <c r="H79" s="481"/>
      <c r="I79" s="481"/>
      <c r="J79" s="481"/>
      <c r="K79" s="481"/>
      <c r="L79" s="481"/>
      <c r="M79" s="481"/>
      <c r="N79" s="481"/>
      <c r="O79" s="481"/>
      <c r="P79" s="481"/>
      <c r="Q79" s="481"/>
      <c r="R79" s="481"/>
      <c r="S79" s="481"/>
      <c r="T79" s="481"/>
      <c r="U79" s="481"/>
      <c r="V79" s="481"/>
      <c r="W79" s="481"/>
      <c r="X79" s="481"/>
      <c r="Y79" s="481"/>
      <c r="Z79" s="481"/>
      <c r="AA79" s="481"/>
      <c r="AB79" s="481"/>
      <c r="AC79" s="481"/>
      <c r="AD79" s="481"/>
      <c r="AE79" s="84">
        <f t="shared" ref="AE79:AE80" si="1">IF(AF$42=0,"",AF79/AF$42)</f>
        <v>0.20433287397420138</v>
      </c>
      <c r="AF79" s="234">
        <f>AF50</f>
        <v>822.92000000000007</v>
      </c>
    </row>
    <row r="80" spans="1:57" ht="15.75" customHeight="1">
      <c r="B80" s="479" t="s">
        <v>218</v>
      </c>
      <c r="C80" s="480"/>
      <c r="D80" s="480"/>
      <c r="E80" s="481" t="str">
        <f>E53</f>
        <v>GPS, FGTS e outras contribuições</v>
      </c>
      <c r="F80" s="481"/>
      <c r="G80" s="481"/>
      <c r="H80" s="481"/>
      <c r="I80" s="481"/>
      <c r="J80" s="481"/>
      <c r="K80" s="481"/>
      <c r="L80" s="481"/>
      <c r="M80" s="481"/>
      <c r="N80" s="481"/>
      <c r="O80" s="481"/>
      <c r="P80" s="481"/>
      <c r="Q80" s="481"/>
      <c r="R80" s="481"/>
      <c r="S80" s="481"/>
      <c r="T80" s="481"/>
      <c r="U80" s="481"/>
      <c r="V80" s="481"/>
      <c r="W80" s="481"/>
      <c r="X80" s="481"/>
      <c r="Y80" s="481"/>
      <c r="Z80" s="481"/>
      <c r="AA80" s="481"/>
      <c r="AB80" s="481"/>
      <c r="AC80" s="481"/>
      <c r="AD80" s="481"/>
      <c r="AE80" s="84">
        <f t="shared" si="1"/>
        <v>0.44319217351360068</v>
      </c>
      <c r="AF80" s="234">
        <f>AF63</f>
        <v>1784.8899999999999</v>
      </c>
    </row>
    <row r="81" spans="2:37" ht="15.75" customHeight="1">
      <c r="B81" s="479" t="s">
        <v>225</v>
      </c>
      <c r="C81" s="480"/>
      <c r="D81" s="480"/>
      <c r="E81" s="481" t="str">
        <f>E66</f>
        <v>Benefícios Mensais e Diários</v>
      </c>
      <c r="F81" s="481"/>
      <c r="G81" s="481"/>
      <c r="H81" s="481"/>
      <c r="I81" s="481"/>
      <c r="J81" s="481"/>
      <c r="K81" s="481"/>
      <c r="L81" s="481"/>
      <c r="M81" s="481"/>
      <c r="N81" s="481"/>
      <c r="O81" s="481"/>
      <c r="P81" s="481"/>
      <c r="Q81" s="481"/>
      <c r="R81" s="481"/>
      <c r="S81" s="481"/>
      <c r="T81" s="481"/>
      <c r="U81" s="481"/>
      <c r="V81" s="481"/>
      <c r="W81" s="481"/>
      <c r="X81" s="481"/>
      <c r="Y81" s="481"/>
      <c r="Z81" s="481"/>
      <c r="AA81" s="481"/>
      <c r="AB81" s="481"/>
      <c r="AC81" s="481"/>
      <c r="AD81" s="481"/>
      <c r="AE81" s="84">
        <f>IF(AF$42=0,"",AF81/AF$42)</f>
        <v>0.28124449079419467</v>
      </c>
      <c r="AF81" s="234">
        <f>AF75</f>
        <v>1132.67</v>
      </c>
    </row>
    <row r="82" spans="2:37" ht="15.75" customHeight="1" thickBot="1">
      <c r="B82" s="497" t="s">
        <v>75</v>
      </c>
      <c r="C82" s="498"/>
      <c r="D82" s="498"/>
      <c r="E82" s="498"/>
      <c r="F82" s="498"/>
      <c r="G82" s="498"/>
      <c r="H82" s="498"/>
      <c r="I82" s="498"/>
      <c r="J82" s="498"/>
      <c r="K82" s="498"/>
      <c r="L82" s="498"/>
      <c r="M82" s="498"/>
      <c r="N82" s="498"/>
      <c r="O82" s="498"/>
      <c r="P82" s="498"/>
      <c r="Q82" s="498"/>
      <c r="R82" s="498"/>
      <c r="S82" s="498"/>
      <c r="T82" s="498"/>
      <c r="U82" s="498"/>
      <c r="V82" s="498"/>
      <c r="W82" s="498"/>
      <c r="X82" s="498"/>
      <c r="Y82" s="498"/>
      <c r="Z82" s="498"/>
      <c r="AA82" s="498"/>
      <c r="AB82" s="498"/>
      <c r="AC82" s="498"/>
      <c r="AD82" s="498"/>
      <c r="AE82" s="235">
        <f>IF(AF$42=0,"",AF82/AF$42)</f>
        <v>0.92876953828199682</v>
      </c>
      <c r="AF82" s="236">
        <f>SUM(AF79:AF81)</f>
        <v>3740.48</v>
      </c>
    </row>
    <row r="83" spans="2:37" ht="13.5" thickBot="1"/>
    <row r="84" spans="2:37" ht="24" customHeight="1" thickBot="1">
      <c r="B84" s="518" t="s">
        <v>236</v>
      </c>
      <c r="C84" s="519"/>
      <c r="D84" s="519"/>
      <c r="E84" s="519"/>
      <c r="F84" s="519"/>
      <c r="G84" s="519"/>
      <c r="H84" s="519"/>
      <c r="I84" s="519"/>
      <c r="J84" s="519"/>
      <c r="K84" s="519"/>
      <c r="L84" s="519"/>
      <c r="M84" s="519"/>
      <c r="N84" s="519"/>
      <c r="O84" s="519"/>
      <c r="P84" s="519"/>
      <c r="Q84" s="519"/>
      <c r="R84" s="519"/>
      <c r="S84" s="519"/>
      <c r="T84" s="519"/>
      <c r="U84" s="519"/>
      <c r="V84" s="519"/>
      <c r="W84" s="519"/>
      <c r="X84" s="519"/>
      <c r="Y84" s="519"/>
      <c r="Z84" s="519"/>
      <c r="AA84" s="519"/>
      <c r="AB84" s="519"/>
      <c r="AC84" s="519"/>
      <c r="AD84" s="519"/>
      <c r="AE84" s="519"/>
      <c r="AF84" s="520"/>
    </row>
    <row r="85" spans="2:37" ht="13.5" thickBot="1"/>
    <row r="86" spans="2:37" ht="18.75" customHeight="1">
      <c r="B86" s="472">
        <v>3</v>
      </c>
      <c r="C86" s="473"/>
      <c r="D86" s="473"/>
      <c r="E86" s="240" t="s">
        <v>237</v>
      </c>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2" t="s">
        <v>31</v>
      </c>
      <c r="AF86" s="217" t="s">
        <v>24</v>
      </c>
    </row>
    <row r="87" spans="2:37" ht="20.25" customHeight="1">
      <c r="B87" s="479" t="s">
        <v>7</v>
      </c>
      <c r="C87" s="480"/>
      <c r="D87" s="480"/>
      <c r="E87" s="496" t="s">
        <v>238</v>
      </c>
      <c r="F87" s="496"/>
      <c r="G87" s="496"/>
      <c r="H87" s="496"/>
      <c r="I87" s="496"/>
      <c r="J87" s="496"/>
      <c r="K87" s="496"/>
      <c r="L87" s="496"/>
      <c r="M87" s="496"/>
      <c r="N87" s="496"/>
      <c r="O87" s="496"/>
      <c r="P87" s="496"/>
      <c r="Q87" s="496"/>
      <c r="R87" s="496"/>
      <c r="S87" s="496"/>
      <c r="T87" s="496"/>
      <c r="U87" s="496"/>
      <c r="V87" s="496"/>
      <c r="W87" s="496"/>
      <c r="X87" s="496"/>
      <c r="Y87" s="496"/>
      <c r="Z87" s="496"/>
      <c r="AA87" s="496"/>
      <c r="AB87" s="496"/>
      <c r="AC87" s="496"/>
      <c r="AD87" s="132">
        <v>0.05</v>
      </c>
      <c r="AE87" s="84">
        <f>(1/12*$AD87)</f>
        <v>4.1666666666666666E-3</v>
      </c>
      <c r="AF87" s="230">
        <f>ROUND(AE87*AF42,2)</f>
        <v>16.78</v>
      </c>
    </row>
    <row r="88" spans="2:37" ht="20.25" customHeight="1">
      <c r="B88" s="479" t="s">
        <v>9</v>
      </c>
      <c r="C88" s="480"/>
      <c r="D88" s="480"/>
      <c r="E88" s="487" t="s">
        <v>239</v>
      </c>
      <c r="F88" s="487"/>
      <c r="G88" s="487"/>
      <c r="H88" s="487"/>
      <c r="I88" s="487"/>
      <c r="J88" s="487"/>
      <c r="K88" s="487"/>
      <c r="L88" s="487"/>
      <c r="M88" s="487"/>
      <c r="N88" s="487"/>
      <c r="O88" s="487"/>
      <c r="P88" s="487"/>
      <c r="Q88" s="487"/>
      <c r="R88" s="487"/>
      <c r="S88" s="487"/>
      <c r="T88" s="487"/>
      <c r="U88" s="487"/>
      <c r="V88" s="487"/>
      <c r="W88" s="487"/>
      <c r="X88" s="487"/>
      <c r="Y88" s="487"/>
      <c r="Z88" s="487"/>
      <c r="AA88" s="487"/>
      <c r="AB88" s="487"/>
      <c r="AC88" s="487"/>
      <c r="AD88" s="487"/>
      <c r="AE88" s="84">
        <v>0.08</v>
      </c>
      <c r="AF88" s="230">
        <f>ROUND(AF87*AE88,2)</f>
        <v>1.34</v>
      </c>
      <c r="AI88" s="62"/>
    </row>
    <row r="89" spans="2:37" ht="20.25" customHeight="1">
      <c r="B89" s="479" t="s">
        <v>11</v>
      </c>
      <c r="C89" s="480"/>
      <c r="D89" s="480"/>
      <c r="E89" s="487" t="s">
        <v>240</v>
      </c>
      <c r="F89" s="487"/>
      <c r="G89" s="487"/>
      <c r="H89" s="487"/>
      <c r="I89" s="487"/>
      <c r="J89" s="487"/>
      <c r="K89" s="487"/>
      <c r="L89" s="487"/>
      <c r="M89" s="487"/>
      <c r="N89" s="487"/>
      <c r="O89" s="487"/>
      <c r="P89" s="487"/>
      <c r="Q89" s="487"/>
      <c r="R89" s="487"/>
      <c r="S89" s="487"/>
      <c r="T89" s="487"/>
      <c r="U89" s="487"/>
      <c r="V89" s="487"/>
      <c r="W89" s="487"/>
      <c r="X89" s="487"/>
      <c r="Y89" s="487"/>
      <c r="Z89" s="487"/>
      <c r="AA89" s="487"/>
      <c r="AB89" s="487"/>
      <c r="AC89" s="487"/>
      <c r="AD89" s="487"/>
      <c r="AE89" s="84">
        <f>0.5*AD87*AE88</f>
        <v>2E-3</v>
      </c>
      <c r="AF89" s="243">
        <f>ROUND(AF$42*AE89,2)</f>
        <v>8.0500000000000007</v>
      </c>
    </row>
    <row r="90" spans="2:37" ht="20.25" customHeight="1">
      <c r="B90" s="479" t="s">
        <v>13</v>
      </c>
      <c r="C90" s="480"/>
      <c r="D90" s="480"/>
      <c r="E90" s="496" t="s">
        <v>241</v>
      </c>
      <c r="F90" s="496"/>
      <c r="G90" s="496"/>
      <c r="H90" s="496"/>
      <c r="I90" s="496"/>
      <c r="J90" s="496"/>
      <c r="K90" s="496"/>
      <c r="L90" s="496"/>
      <c r="M90" s="496"/>
      <c r="N90" s="496"/>
      <c r="O90" s="496"/>
      <c r="P90" s="496"/>
      <c r="Q90" s="496"/>
      <c r="R90" s="496"/>
      <c r="S90" s="496"/>
      <c r="T90" s="496"/>
      <c r="U90" s="496"/>
      <c r="V90" s="496"/>
      <c r="W90" s="496"/>
      <c r="X90" s="496"/>
      <c r="Y90" s="496"/>
      <c r="Z90" s="496"/>
      <c r="AA90" s="496"/>
      <c r="AB90" s="496"/>
      <c r="AC90" s="496"/>
      <c r="AD90" s="133">
        <f>1-AD87</f>
        <v>0.95</v>
      </c>
      <c r="AE90" s="84">
        <f>7/30/12</f>
        <v>1.9444444444444445E-2</v>
      </c>
      <c r="AF90" s="230">
        <f>ROUND(AE90*AF42,2)</f>
        <v>78.31</v>
      </c>
    </row>
    <row r="91" spans="2:37" ht="20.25" customHeight="1">
      <c r="B91" s="479" t="s">
        <v>37</v>
      </c>
      <c r="C91" s="480"/>
      <c r="D91" s="480"/>
      <c r="E91" s="487" t="s">
        <v>242</v>
      </c>
      <c r="F91" s="487"/>
      <c r="G91" s="487"/>
      <c r="H91" s="487"/>
      <c r="I91" s="487"/>
      <c r="J91" s="487"/>
      <c r="K91" s="487"/>
      <c r="L91" s="487"/>
      <c r="M91" s="487"/>
      <c r="N91" s="487"/>
      <c r="O91" s="487"/>
      <c r="P91" s="487"/>
      <c r="Q91" s="487"/>
      <c r="R91" s="487"/>
      <c r="S91" s="487"/>
      <c r="T91" s="487"/>
      <c r="U91" s="487"/>
      <c r="V91" s="487"/>
      <c r="W91" s="487"/>
      <c r="X91" s="487"/>
      <c r="Y91" s="487"/>
      <c r="Z91" s="487"/>
      <c r="AA91" s="487"/>
      <c r="AB91" s="487"/>
      <c r="AC91" s="487"/>
      <c r="AD91" s="487"/>
      <c r="AE91" s="84">
        <f>AE63</f>
        <v>0.36800000000000005</v>
      </c>
      <c r="AF91" s="230">
        <f>ROUND(AF90*AE63,2)</f>
        <v>28.82</v>
      </c>
    </row>
    <row r="92" spans="2:37" ht="20.25" customHeight="1">
      <c r="B92" s="479" t="s">
        <v>39</v>
      </c>
      <c r="C92" s="480"/>
      <c r="D92" s="480"/>
      <c r="E92" s="487" t="s">
        <v>243</v>
      </c>
      <c r="F92" s="487"/>
      <c r="G92" s="487"/>
      <c r="H92" s="487"/>
      <c r="I92" s="487"/>
      <c r="J92" s="487"/>
      <c r="K92" s="487"/>
      <c r="L92" s="487"/>
      <c r="M92" s="487"/>
      <c r="N92" s="487"/>
      <c r="O92" s="487"/>
      <c r="P92" s="487"/>
      <c r="Q92" s="487"/>
      <c r="R92" s="487"/>
      <c r="S92" s="487"/>
      <c r="T92" s="487"/>
      <c r="U92" s="487"/>
      <c r="V92" s="487"/>
      <c r="W92" s="487"/>
      <c r="X92" s="487"/>
      <c r="Y92" s="487"/>
      <c r="Z92" s="487"/>
      <c r="AA92" s="487"/>
      <c r="AB92" s="487"/>
      <c r="AC92" s="487"/>
      <c r="AD92" s="487"/>
      <c r="AE92" s="84">
        <f>0.08*0.5*AD90</f>
        <v>3.7999999999999999E-2</v>
      </c>
      <c r="AF92" s="243">
        <f>ROUND(AE92*AF$42,2)</f>
        <v>153.04</v>
      </c>
      <c r="AK92" s="63"/>
    </row>
    <row r="93" spans="2:37" ht="24" customHeight="1" thickBot="1">
      <c r="B93" s="488" t="s">
        <v>75</v>
      </c>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c r="AE93" s="223">
        <f>IF(AF$42=0,"",AF93/AF$42)</f>
        <v>7.1098861534259497E-2</v>
      </c>
      <c r="AF93" s="239">
        <f>SUM(AF87:AF92)</f>
        <v>286.34000000000003</v>
      </c>
      <c r="AG93" s="64"/>
    </row>
    <row r="94" spans="2:37" ht="12.75" customHeight="1" thickBot="1"/>
    <row r="95" spans="2:37" ht="24" customHeight="1" thickBot="1">
      <c r="B95" s="518" t="s">
        <v>244</v>
      </c>
      <c r="C95" s="519"/>
      <c r="D95" s="519"/>
      <c r="E95" s="519"/>
      <c r="F95" s="519"/>
      <c r="G95" s="519"/>
      <c r="H95" s="519"/>
      <c r="I95" s="519"/>
      <c r="J95" s="519"/>
      <c r="K95" s="519"/>
      <c r="L95" s="519"/>
      <c r="M95" s="519"/>
      <c r="N95" s="519"/>
      <c r="O95" s="519"/>
      <c r="P95" s="519"/>
      <c r="Q95" s="519"/>
      <c r="R95" s="519"/>
      <c r="S95" s="519"/>
      <c r="T95" s="519"/>
      <c r="U95" s="519"/>
      <c r="V95" s="519"/>
      <c r="W95" s="519"/>
      <c r="X95" s="519"/>
      <c r="Y95" s="519"/>
      <c r="Z95" s="519"/>
      <c r="AA95" s="519"/>
      <c r="AB95" s="519"/>
      <c r="AC95" s="519"/>
      <c r="AD95" s="519"/>
      <c r="AE95" s="519"/>
      <c r="AF95" s="520"/>
    </row>
    <row r="96" spans="2:37" ht="13.5" thickBot="1"/>
    <row r="97" spans="2:37" ht="29.25" customHeight="1">
      <c r="B97" s="227" t="s">
        <v>245</v>
      </c>
      <c r="C97" s="228"/>
      <c r="D97" s="228"/>
      <c r="E97" s="228"/>
      <c r="F97" s="228"/>
      <c r="G97" s="228"/>
      <c r="H97" s="228"/>
      <c r="I97" s="228"/>
      <c r="J97" s="228"/>
      <c r="K97" s="228"/>
      <c r="L97" s="228"/>
      <c r="M97" s="228"/>
      <c r="N97" s="228"/>
      <c r="O97" s="228"/>
      <c r="P97" s="228"/>
      <c r="Q97" s="228"/>
      <c r="R97" s="228"/>
      <c r="S97" s="228"/>
      <c r="T97" s="228"/>
      <c r="U97" s="228"/>
      <c r="V97" s="228"/>
      <c r="W97" s="228"/>
      <c r="X97" s="228"/>
      <c r="Y97" s="228"/>
      <c r="Z97" s="228"/>
      <c r="AA97" s="228"/>
      <c r="AB97" s="228"/>
      <c r="AC97" s="228"/>
      <c r="AD97" s="228"/>
      <c r="AE97" s="237" t="s">
        <v>246</v>
      </c>
      <c r="AF97" s="238">
        <f>AF42+AF82+AF93</f>
        <v>8054.17</v>
      </c>
    </row>
    <row r="98" spans="2:37" ht="21" customHeight="1">
      <c r="B98" s="476" t="s">
        <v>65</v>
      </c>
      <c r="C98" s="477"/>
      <c r="D98" s="477"/>
      <c r="E98" s="77" t="s">
        <v>247</v>
      </c>
      <c r="F98" s="78"/>
      <c r="G98" s="78"/>
      <c r="H98" s="78"/>
      <c r="I98" s="78"/>
      <c r="J98" s="78"/>
      <c r="K98" s="78"/>
      <c r="L98" s="78"/>
      <c r="M98" s="78"/>
      <c r="N98" s="78"/>
      <c r="O98" s="78"/>
      <c r="P98" s="78"/>
      <c r="Q98" s="78"/>
      <c r="R98" s="78"/>
      <c r="S98" s="78"/>
      <c r="T98" s="78"/>
      <c r="U98" s="78"/>
      <c r="V98" s="78"/>
      <c r="W98" s="78"/>
      <c r="X98" s="78"/>
      <c r="Y98" s="78"/>
      <c r="Z98" s="78"/>
      <c r="AA98" s="78"/>
      <c r="AB98" s="78"/>
      <c r="AC98" s="78"/>
      <c r="AD98" s="100" t="s">
        <v>248</v>
      </c>
      <c r="AE98" s="82" t="s">
        <v>31</v>
      </c>
      <c r="AF98" s="229" t="s">
        <v>24</v>
      </c>
    </row>
    <row r="99" spans="2:37" ht="21" customHeight="1">
      <c r="B99" s="479" t="s">
        <v>7</v>
      </c>
      <c r="C99" s="480"/>
      <c r="D99" s="480"/>
      <c r="E99" s="496" t="s">
        <v>249</v>
      </c>
      <c r="F99" s="496"/>
      <c r="G99" s="496"/>
      <c r="H99" s="496"/>
      <c r="I99" s="496"/>
      <c r="J99" s="496"/>
      <c r="K99" s="496"/>
      <c r="L99" s="496"/>
      <c r="M99" s="496"/>
      <c r="N99" s="496"/>
      <c r="O99" s="496"/>
      <c r="P99" s="496"/>
      <c r="Q99" s="496"/>
      <c r="R99" s="496"/>
      <c r="S99" s="496"/>
      <c r="T99" s="496"/>
      <c r="U99" s="496"/>
      <c r="V99" s="496"/>
      <c r="W99" s="496"/>
      <c r="X99" s="496"/>
      <c r="Y99" s="496"/>
      <c r="Z99" s="496"/>
      <c r="AA99" s="496"/>
      <c r="AB99" s="496"/>
      <c r="AC99" s="496"/>
      <c r="AD99" s="65" t="s">
        <v>33</v>
      </c>
      <c r="AE99" s="84">
        <f>((1+1/3)/12)/12</f>
        <v>9.2592592592592587E-3</v>
      </c>
      <c r="AF99" s="230">
        <f>AE99*AF97</f>
        <v>74.575648148148147</v>
      </c>
      <c r="AI99" s="55"/>
      <c r="AK99" s="62"/>
    </row>
    <row r="100" spans="2:37" ht="21" customHeight="1">
      <c r="B100" s="468" t="s">
        <v>9</v>
      </c>
      <c r="C100" s="284"/>
      <c r="D100" s="284"/>
      <c r="E100" s="496" t="s">
        <v>250</v>
      </c>
      <c r="F100" s="496"/>
      <c r="G100" s="496"/>
      <c r="H100" s="496"/>
      <c r="I100" s="496"/>
      <c r="J100" s="496"/>
      <c r="K100" s="496"/>
      <c r="L100" s="496"/>
      <c r="M100" s="496"/>
      <c r="N100" s="496"/>
      <c r="O100" s="496"/>
      <c r="P100" s="496"/>
      <c r="Q100" s="496"/>
      <c r="R100" s="496"/>
      <c r="S100" s="496"/>
      <c r="T100" s="496"/>
      <c r="U100" s="496"/>
      <c r="V100" s="496"/>
      <c r="W100" s="496"/>
      <c r="X100" s="496"/>
      <c r="Y100" s="496"/>
      <c r="Z100" s="496"/>
      <c r="AA100" s="496"/>
      <c r="AB100" s="496"/>
      <c r="AC100" s="496"/>
      <c r="AD100" s="134">
        <v>2</v>
      </c>
      <c r="AE100" s="180">
        <f>((AD100/30)/12)</f>
        <v>5.5555555555555558E-3</v>
      </c>
      <c r="AF100" s="230">
        <f>ROUND(AE100*AF$97,2)</f>
        <v>44.75</v>
      </c>
    </row>
    <row r="101" spans="2:37" ht="21" customHeight="1">
      <c r="B101" s="468" t="s">
        <v>11</v>
      </c>
      <c r="C101" s="284"/>
      <c r="D101" s="284"/>
      <c r="E101" s="496" t="s">
        <v>251</v>
      </c>
      <c r="F101" s="496"/>
      <c r="G101" s="496"/>
      <c r="H101" s="496"/>
      <c r="I101" s="496"/>
      <c r="J101" s="496"/>
      <c r="K101" s="496"/>
      <c r="L101" s="496"/>
      <c r="M101" s="496"/>
      <c r="N101" s="496"/>
      <c r="O101" s="496"/>
      <c r="P101" s="496"/>
      <c r="Q101" s="496"/>
      <c r="R101" s="496"/>
      <c r="S101" s="496"/>
      <c r="T101" s="496"/>
      <c r="U101" s="496"/>
      <c r="V101" s="496"/>
      <c r="W101" s="496"/>
      <c r="X101" s="496"/>
      <c r="Y101" s="496"/>
      <c r="Z101" s="496"/>
      <c r="AA101" s="496"/>
      <c r="AB101" s="496"/>
      <c r="AC101" s="496"/>
      <c r="AD101" s="135">
        <v>0.02</v>
      </c>
      <c r="AE101" s="180">
        <f>((20/30)/12)*AD101</f>
        <v>1.1111111111111111E-3</v>
      </c>
      <c r="AF101" s="230">
        <f>ROUND(AE101*AF$97,2)</f>
        <v>8.9499999999999993</v>
      </c>
    </row>
    <row r="102" spans="2:37" ht="21" customHeight="1">
      <c r="B102" s="468" t="s">
        <v>13</v>
      </c>
      <c r="C102" s="284"/>
      <c r="D102" s="284"/>
      <c r="E102" s="496" t="s">
        <v>252</v>
      </c>
      <c r="F102" s="496"/>
      <c r="G102" s="496"/>
      <c r="H102" s="496"/>
      <c r="I102" s="496"/>
      <c r="J102" s="496"/>
      <c r="K102" s="496"/>
      <c r="L102" s="496"/>
      <c r="M102" s="496"/>
      <c r="N102" s="496"/>
      <c r="O102" s="496"/>
      <c r="P102" s="496"/>
      <c r="Q102" s="496"/>
      <c r="R102" s="496"/>
      <c r="S102" s="496"/>
      <c r="T102" s="496"/>
      <c r="U102" s="496"/>
      <c r="V102" s="496"/>
      <c r="W102" s="496"/>
      <c r="X102" s="496"/>
      <c r="Y102" s="496"/>
      <c r="Z102" s="496"/>
      <c r="AA102" s="496"/>
      <c r="AB102" s="496"/>
      <c r="AC102" s="496"/>
      <c r="AD102" s="135">
        <v>0.08</v>
      </c>
      <c r="AE102" s="180">
        <f>((15/30)/12)*AD102</f>
        <v>3.3333333333333331E-3</v>
      </c>
      <c r="AF102" s="230">
        <f>ROUND(AE102*AF$97,2)</f>
        <v>26.85</v>
      </c>
    </row>
    <row r="103" spans="2:37" ht="21" customHeight="1">
      <c r="B103" s="468" t="s">
        <v>37</v>
      </c>
      <c r="C103" s="284"/>
      <c r="D103" s="284"/>
      <c r="E103" s="496" t="s">
        <v>253</v>
      </c>
      <c r="F103" s="496"/>
      <c r="G103" s="496"/>
      <c r="H103" s="496"/>
      <c r="I103" s="496"/>
      <c r="J103" s="496"/>
      <c r="K103" s="496"/>
      <c r="L103" s="496"/>
      <c r="M103" s="496"/>
      <c r="N103" s="496"/>
      <c r="O103" s="496"/>
      <c r="P103" s="496"/>
      <c r="Q103" s="496"/>
      <c r="R103" s="496"/>
      <c r="S103" s="496"/>
      <c r="T103" s="496"/>
      <c r="U103" s="496"/>
      <c r="V103" s="496"/>
      <c r="W103" s="496"/>
      <c r="X103" s="496"/>
      <c r="Y103" s="496"/>
      <c r="Z103" s="496"/>
      <c r="AA103" s="496"/>
      <c r="AB103" s="496"/>
      <c r="AC103" s="496"/>
      <c r="AD103" s="135">
        <v>0.03</v>
      </c>
      <c r="AE103" s="180">
        <f>((1+1/3)/12*AD103*((4/12)))</f>
        <v>1.1111111111111109E-3</v>
      </c>
      <c r="AF103" s="230">
        <f>ROUND(AE103*AF$97,2)</f>
        <v>8.9499999999999993</v>
      </c>
    </row>
    <row r="104" spans="2:37" ht="21" customHeight="1">
      <c r="B104" s="468" t="s">
        <v>39</v>
      </c>
      <c r="C104" s="284"/>
      <c r="D104" s="284"/>
      <c r="E104" s="66" t="s">
        <v>254</v>
      </c>
      <c r="F104" s="67"/>
      <c r="G104" s="67"/>
      <c r="H104" s="68"/>
      <c r="I104" s="68"/>
      <c r="J104" s="68"/>
      <c r="K104" s="68"/>
      <c r="L104" s="68"/>
      <c r="M104" s="68"/>
      <c r="N104" s="68"/>
      <c r="O104" s="68"/>
      <c r="P104" s="68"/>
      <c r="Q104" s="68"/>
      <c r="R104" s="68"/>
      <c r="S104" s="469"/>
      <c r="T104" s="469"/>
      <c r="U104" s="469"/>
      <c r="V104" s="469"/>
      <c r="W104" s="469"/>
      <c r="X104" s="469"/>
      <c r="Y104" s="469"/>
      <c r="Z104" s="469"/>
      <c r="AA104" s="469"/>
      <c r="AB104" s="469"/>
      <c r="AC104" s="469"/>
      <c r="AD104" s="134"/>
      <c r="AE104" s="180">
        <f>((AD104/30)/12)</f>
        <v>0</v>
      </c>
      <c r="AF104" s="226">
        <f>ROUND(AE104*AF$97,2)</f>
        <v>0</v>
      </c>
    </row>
    <row r="105" spans="2:37" ht="21" customHeight="1" thickBot="1">
      <c r="B105" s="483" t="s">
        <v>81</v>
      </c>
      <c r="C105" s="484"/>
      <c r="D105" s="484"/>
      <c r="E105" s="484"/>
      <c r="F105" s="484"/>
      <c r="G105" s="484"/>
      <c r="H105" s="484"/>
      <c r="I105" s="484"/>
      <c r="J105" s="484"/>
      <c r="K105" s="484"/>
      <c r="L105" s="484"/>
      <c r="M105" s="484"/>
      <c r="N105" s="484"/>
      <c r="O105" s="484"/>
      <c r="P105" s="484"/>
      <c r="Q105" s="484"/>
      <c r="R105" s="484"/>
      <c r="S105" s="484"/>
      <c r="T105" s="484"/>
      <c r="U105" s="484"/>
      <c r="V105" s="484"/>
      <c r="W105" s="484"/>
      <c r="X105" s="484"/>
      <c r="Y105" s="484"/>
      <c r="Z105" s="484"/>
      <c r="AA105" s="484"/>
      <c r="AB105" s="484"/>
      <c r="AC105" s="484"/>
      <c r="AD105" s="484"/>
      <c r="AE105" s="223">
        <f>SUM(AE99:AE104)</f>
        <v>2.0370370370370372E-2</v>
      </c>
      <c r="AF105" s="239">
        <f>SUM(AF99:AF104)</f>
        <v>164.07564814814813</v>
      </c>
    </row>
    <row r="106" spans="2:37" ht="12.75" customHeight="1" thickBot="1"/>
    <row r="107" spans="2:37" ht="29.25" customHeight="1">
      <c r="B107" s="227" t="s">
        <v>255</v>
      </c>
      <c r="C107" s="228"/>
      <c r="D107" s="228"/>
      <c r="E107" s="228"/>
      <c r="F107" s="228"/>
      <c r="G107" s="228"/>
      <c r="H107" s="228"/>
      <c r="I107" s="228"/>
      <c r="J107" s="228"/>
      <c r="K107" s="228"/>
      <c r="L107" s="228"/>
      <c r="M107" s="228"/>
      <c r="N107" s="228"/>
      <c r="O107" s="228"/>
      <c r="P107" s="228"/>
      <c r="Q107" s="228"/>
      <c r="R107" s="228"/>
      <c r="S107" s="228"/>
      <c r="T107" s="228"/>
      <c r="U107" s="228"/>
      <c r="V107" s="228"/>
      <c r="W107" s="228"/>
      <c r="X107" s="228"/>
      <c r="Y107" s="228"/>
      <c r="Z107" s="228"/>
      <c r="AA107" s="228"/>
      <c r="AB107" s="228"/>
      <c r="AC107" s="228"/>
      <c r="AD107" s="228"/>
      <c r="AE107" s="470" t="s">
        <v>203</v>
      </c>
      <c r="AF107" s="471"/>
    </row>
    <row r="108" spans="2:37" ht="18" customHeight="1">
      <c r="B108" s="476" t="s">
        <v>77</v>
      </c>
      <c r="C108" s="477"/>
      <c r="D108" s="477"/>
      <c r="E108" s="78" t="s">
        <v>256</v>
      </c>
      <c r="F108" s="78"/>
      <c r="G108" s="78"/>
      <c r="H108" s="78"/>
      <c r="I108" s="78"/>
      <c r="J108" s="78"/>
      <c r="K108" s="78"/>
      <c r="L108" s="78"/>
      <c r="M108" s="78"/>
      <c r="N108" s="78"/>
      <c r="O108" s="78"/>
      <c r="P108" s="78"/>
      <c r="Q108" s="78"/>
      <c r="R108" s="78"/>
      <c r="S108" s="78"/>
      <c r="T108" s="78"/>
      <c r="U108" s="78"/>
      <c r="V108" s="78"/>
      <c r="W108" s="78"/>
      <c r="X108" s="78"/>
      <c r="Y108" s="78"/>
      <c r="Z108" s="78"/>
      <c r="AA108" s="78"/>
      <c r="AB108" s="78"/>
      <c r="AC108" s="78"/>
      <c r="AD108" s="78"/>
      <c r="AE108" s="82" t="s">
        <v>31</v>
      </c>
      <c r="AF108" s="229" t="s">
        <v>24</v>
      </c>
    </row>
    <row r="109" spans="2:37" ht="21" customHeight="1">
      <c r="B109" s="479" t="s">
        <v>7</v>
      </c>
      <c r="C109" s="480"/>
      <c r="D109" s="480"/>
      <c r="E109" s="487" t="s">
        <v>257</v>
      </c>
      <c r="F109" s="487"/>
      <c r="G109" s="487"/>
      <c r="H109" s="487"/>
      <c r="I109" s="487"/>
      <c r="J109" s="487"/>
      <c r="K109" s="487"/>
      <c r="L109" s="487"/>
      <c r="M109" s="487"/>
      <c r="N109" s="487"/>
      <c r="O109" s="487"/>
      <c r="P109" s="487"/>
      <c r="Q109" s="487"/>
      <c r="R109" s="487"/>
      <c r="S109" s="487"/>
      <c r="T109" s="487"/>
      <c r="U109" s="487"/>
      <c r="V109" s="487"/>
      <c r="W109" s="487"/>
      <c r="X109" s="487"/>
      <c r="Y109" s="487"/>
      <c r="Z109" s="487"/>
      <c r="AA109" s="487"/>
      <c r="AB109" s="487"/>
      <c r="AC109" s="487"/>
      <c r="AD109" s="487"/>
      <c r="AE109" s="145"/>
      <c r="AF109" s="230">
        <f>IF(AE109="",0,ROUND(AF97/220*1*7*4.345/2,2))</f>
        <v>0</v>
      </c>
    </row>
    <row r="110" spans="2:37" ht="18" customHeight="1" thickBot="1">
      <c r="B110" s="483" t="s">
        <v>81</v>
      </c>
      <c r="C110" s="484"/>
      <c r="D110" s="484"/>
      <c r="E110" s="484"/>
      <c r="F110" s="484"/>
      <c r="G110" s="484"/>
      <c r="H110" s="484"/>
      <c r="I110" s="484"/>
      <c r="J110" s="484"/>
      <c r="K110" s="484"/>
      <c r="L110" s="484"/>
      <c r="M110" s="484"/>
      <c r="N110" s="484"/>
      <c r="O110" s="484"/>
      <c r="P110" s="484"/>
      <c r="Q110" s="484"/>
      <c r="R110" s="484"/>
      <c r="S110" s="484"/>
      <c r="T110" s="484"/>
      <c r="U110" s="484"/>
      <c r="V110" s="484"/>
      <c r="W110" s="484"/>
      <c r="X110" s="484"/>
      <c r="Y110" s="484"/>
      <c r="Z110" s="484"/>
      <c r="AA110" s="484"/>
      <c r="AB110" s="484"/>
      <c r="AC110" s="484"/>
      <c r="AD110" s="484"/>
      <c r="AE110" s="223" t="s">
        <v>33</v>
      </c>
      <c r="AF110" s="231">
        <f>AF109</f>
        <v>0</v>
      </c>
    </row>
    <row r="111" spans="2:37" ht="12.75" customHeight="1" thickBot="1"/>
    <row r="112" spans="2:37" ht="17.25" customHeight="1">
      <c r="B112" s="232" t="s">
        <v>258</v>
      </c>
      <c r="C112" s="233"/>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16" t="s">
        <v>31</v>
      </c>
      <c r="AF112" s="217" t="s">
        <v>24</v>
      </c>
      <c r="AH112" s="62"/>
    </row>
    <row r="113" spans="2:34" ht="17.25" customHeight="1">
      <c r="B113" s="479" t="s">
        <v>65</v>
      </c>
      <c r="C113" s="480"/>
      <c r="D113" s="480"/>
      <c r="E113" s="481" t="str">
        <f>E98</f>
        <v>Substituto nas Ausências legais</v>
      </c>
      <c r="F113" s="481"/>
      <c r="G113" s="481"/>
      <c r="H113" s="481"/>
      <c r="I113" s="481"/>
      <c r="J113" s="481"/>
      <c r="K113" s="481"/>
      <c r="L113" s="481"/>
      <c r="M113" s="481"/>
      <c r="N113" s="481"/>
      <c r="O113" s="481"/>
      <c r="P113" s="481"/>
      <c r="Q113" s="481"/>
      <c r="R113" s="481"/>
      <c r="S113" s="481"/>
      <c r="T113" s="481"/>
      <c r="U113" s="481"/>
      <c r="V113" s="481"/>
      <c r="W113" s="481"/>
      <c r="X113" s="481"/>
      <c r="Y113" s="481"/>
      <c r="Z113" s="481"/>
      <c r="AA113" s="481"/>
      <c r="AB113" s="481"/>
      <c r="AC113" s="481"/>
      <c r="AD113" s="481"/>
      <c r="AE113" s="84">
        <f>IF(AF$42=0,"",AF113/AF$42)</f>
        <v>4.0740349894632481E-2</v>
      </c>
      <c r="AF113" s="234">
        <f>AF105</f>
        <v>164.07564814814813</v>
      </c>
    </row>
    <row r="114" spans="2:34" ht="17.25" customHeight="1">
      <c r="B114" s="479" t="s">
        <v>77</v>
      </c>
      <c r="C114" s="480"/>
      <c r="D114" s="480"/>
      <c r="E114" s="481" t="str">
        <f>E108</f>
        <v>Substituto na Intrajornada</v>
      </c>
      <c r="F114" s="481"/>
      <c r="G114" s="481"/>
      <c r="H114" s="481"/>
      <c r="I114" s="481"/>
      <c r="J114" s="481"/>
      <c r="K114" s="481"/>
      <c r="L114" s="481"/>
      <c r="M114" s="481"/>
      <c r="N114" s="481"/>
      <c r="O114" s="481"/>
      <c r="P114" s="481"/>
      <c r="Q114" s="481"/>
      <c r="R114" s="481"/>
      <c r="S114" s="481"/>
      <c r="T114" s="481"/>
      <c r="U114" s="481"/>
      <c r="V114" s="481"/>
      <c r="W114" s="481"/>
      <c r="X114" s="481"/>
      <c r="Y114" s="481"/>
      <c r="Z114" s="481"/>
      <c r="AA114" s="481"/>
      <c r="AB114" s="481"/>
      <c r="AC114" s="481"/>
      <c r="AD114" s="481"/>
      <c r="AE114" s="84">
        <f>IF(AF$42=0,"",AF114/AF$42)</f>
        <v>0</v>
      </c>
      <c r="AF114" s="234">
        <f>AF110</f>
        <v>0</v>
      </c>
      <c r="AH114" s="62"/>
    </row>
    <row r="115" spans="2:34" ht="17.25" customHeight="1" thickBot="1">
      <c r="B115" s="497" t="s">
        <v>75</v>
      </c>
      <c r="C115" s="498"/>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235">
        <f>SUM(AE113:AE114)</f>
        <v>4.0740349894632481E-2</v>
      </c>
      <c r="AF115" s="236">
        <f>SUM(AF113:AF114)</f>
        <v>164.07564814814813</v>
      </c>
    </row>
    <row r="116" spans="2:34" ht="13.5" thickBot="1">
      <c r="AE116" s="69"/>
    </row>
    <row r="117" spans="2:34" ht="24" customHeight="1" thickBot="1">
      <c r="B117" s="518" t="s">
        <v>259</v>
      </c>
      <c r="C117" s="519"/>
      <c r="D117" s="519"/>
      <c r="E117" s="519"/>
      <c r="F117" s="519"/>
      <c r="G117" s="519"/>
      <c r="H117" s="519"/>
      <c r="I117" s="519"/>
      <c r="J117" s="519"/>
      <c r="K117" s="519"/>
      <c r="L117" s="519"/>
      <c r="M117" s="519"/>
      <c r="N117" s="519"/>
      <c r="O117" s="519"/>
      <c r="P117" s="519"/>
      <c r="Q117" s="519"/>
      <c r="R117" s="519"/>
      <c r="S117" s="519"/>
      <c r="T117" s="519"/>
      <c r="U117" s="519"/>
      <c r="V117" s="519"/>
      <c r="W117" s="519"/>
      <c r="X117" s="519"/>
      <c r="Y117" s="519"/>
      <c r="Z117" s="519"/>
      <c r="AA117" s="519"/>
      <c r="AB117" s="519"/>
      <c r="AC117" s="519"/>
      <c r="AD117" s="519"/>
      <c r="AE117" s="519"/>
      <c r="AF117" s="520"/>
    </row>
    <row r="118" spans="2:34" ht="12.75" customHeight="1" thickBot="1"/>
    <row r="119" spans="2:34" ht="18" customHeight="1">
      <c r="B119" s="472">
        <v>5</v>
      </c>
      <c r="C119" s="473"/>
      <c r="D119" s="473"/>
      <c r="E119" s="474" t="s">
        <v>56</v>
      </c>
      <c r="F119" s="474"/>
      <c r="G119" s="474"/>
      <c r="H119" s="474"/>
      <c r="I119" s="474"/>
      <c r="J119" s="474"/>
      <c r="K119" s="474"/>
      <c r="L119" s="474"/>
      <c r="M119" s="474"/>
      <c r="N119" s="474"/>
      <c r="O119" s="474"/>
      <c r="P119" s="474"/>
      <c r="Q119" s="474"/>
      <c r="R119" s="474"/>
      <c r="S119" s="474"/>
      <c r="T119" s="474"/>
      <c r="U119" s="474"/>
      <c r="V119" s="474"/>
      <c r="W119" s="474"/>
      <c r="X119" s="474"/>
      <c r="Y119" s="474"/>
      <c r="Z119" s="474"/>
      <c r="AA119" s="474"/>
      <c r="AB119" s="474"/>
      <c r="AC119" s="474"/>
      <c r="AD119" s="474"/>
      <c r="AE119" s="216" t="s">
        <v>31</v>
      </c>
      <c r="AF119" s="217" t="s">
        <v>24</v>
      </c>
    </row>
    <row r="120" spans="2:34" ht="25.5" customHeight="1">
      <c r="B120" s="468" t="s">
        <v>7</v>
      </c>
      <c r="C120" s="284"/>
      <c r="D120" s="284"/>
      <c r="E120" s="300" t="s">
        <v>403</v>
      </c>
      <c r="F120" s="295"/>
      <c r="G120" s="295"/>
      <c r="H120" s="295"/>
      <c r="I120" s="295"/>
      <c r="J120" s="295"/>
      <c r="K120" s="295"/>
      <c r="L120" s="295"/>
      <c r="M120" s="295"/>
      <c r="N120" s="295"/>
      <c r="O120" s="295"/>
      <c r="P120" s="295"/>
      <c r="Q120" s="295"/>
      <c r="R120" s="295"/>
      <c r="S120" s="295"/>
      <c r="T120" s="295"/>
      <c r="U120" s="295"/>
      <c r="V120" s="295"/>
      <c r="W120" s="295"/>
      <c r="X120" s="295"/>
      <c r="Y120" s="295"/>
      <c r="Z120" s="295"/>
      <c r="AA120" s="295"/>
      <c r="AB120" s="295"/>
      <c r="AC120" s="295"/>
      <c r="AD120" s="295"/>
      <c r="AE120" s="84">
        <f>IF(AF$42=0,"",AF120/AF$42)</f>
        <v>1.293240799367657E-4</v>
      </c>
      <c r="AF120" s="225">
        <f>'VI. Insumos Diversos'!I92</f>
        <v>0.52083333333333337</v>
      </c>
    </row>
    <row r="121" spans="2:34" ht="25.5" customHeight="1">
      <c r="B121" s="468" t="s">
        <v>9</v>
      </c>
      <c r="C121" s="284"/>
      <c r="D121" s="284"/>
      <c r="E121" s="358" t="s">
        <v>406</v>
      </c>
      <c r="F121" s="359"/>
      <c r="G121" s="359"/>
      <c r="H121" s="359"/>
      <c r="I121" s="359"/>
      <c r="J121" s="359"/>
      <c r="K121" s="359"/>
      <c r="L121" s="359"/>
      <c r="M121" s="359"/>
      <c r="N121" s="359"/>
      <c r="O121" s="359"/>
      <c r="P121" s="359"/>
      <c r="Q121" s="359"/>
      <c r="R121" s="359"/>
      <c r="S121" s="359"/>
      <c r="T121" s="359"/>
      <c r="U121" s="359"/>
      <c r="V121" s="359"/>
      <c r="W121" s="359"/>
      <c r="X121" s="359"/>
      <c r="Y121" s="359"/>
      <c r="Z121" s="359"/>
      <c r="AA121" s="359"/>
      <c r="AB121" s="359"/>
      <c r="AC121" s="359"/>
      <c r="AD121" s="360"/>
      <c r="AE121" s="84">
        <f t="shared" ref="AE121:AE129" si="2">IF(AF$42=0,"",AF121/AF$42)</f>
        <v>1.293240799367657E-2</v>
      </c>
      <c r="AF121" s="225">
        <f>'VI. Insumos Diversos'!I93</f>
        <v>52.083333333333336</v>
      </c>
    </row>
    <row r="122" spans="2:34" ht="25.5" customHeight="1">
      <c r="B122" s="468" t="s">
        <v>11</v>
      </c>
      <c r="C122" s="284"/>
      <c r="D122" s="284"/>
      <c r="E122" s="358" t="s">
        <v>404</v>
      </c>
      <c r="F122" s="359"/>
      <c r="G122" s="359"/>
      <c r="H122" s="359"/>
      <c r="I122" s="359"/>
      <c r="J122" s="359"/>
      <c r="K122" s="359"/>
      <c r="L122" s="359"/>
      <c r="M122" s="359"/>
      <c r="N122" s="359"/>
      <c r="O122" s="359"/>
      <c r="P122" s="359"/>
      <c r="Q122" s="359"/>
      <c r="R122" s="359"/>
      <c r="S122" s="359"/>
      <c r="T122" s="359"/>
      <c r="U122" s="359"/>
      <c r="V122" s="359"/>
      <c r="W122" s="359"/>
      <c r="X122" s="359"/>
      <c r="Y122" s="359"/>
      <c r="Z122" s="359"/>
      <c r="AA122" s="359"/>
      <c r="AB122" s="359"/>
      <c r="AC122" s="359"/>
      <c r="AD122" s="360"/>
      <c r="AE122" s="84">
        <f t="shared" si="2"/>
        <v>5.1729631974706276E-3</v>
      </c>
      <c r="AF122" s="225">
        <f>'VI. Insumos Diversos'!I94</f>
        <v>20.833333333333332</v>
      </c>
    </row>
    <row r="123" spans="2:34" ht="25.5" customHeight="1">
      <c r="B123" s="468" t="s">
        <v>13</v>
      </c>
      <c r="C123" s="284"/>
      <c r="D123" s="284"/>
      <c r="E123" s="358" t="s">
        <v>407</v>
      </c>
      <c r="F123" s="359"/>
      <c r="G123" s="359"/>
      <c r="H123" s="359"/>
      <c r="I123" s="359"/>
      <c r="J123" s="359"/>
      <c r="K123" s="359"/>
      <c r="L123" s="359"/>
      <c r="M123" s="359"/>
      <c r="N123" s="359"/>
      <c r="O123" s="359"/>
      <c r="P123" s="359"/>
      <c r="Q123" s="359"/>
      <c r="R123" s="359"/>
      <c r="S123" s="359"/>
      <c r="T123" s="359"/>
      <c r="U123" s="359"/>
      <c r="V123" s="359"/>
      <c r="W123" s="359"/>
      <c r="X123" s="359"/>
      <c r="Y123" s="359"/>
      <c r="Z123" s="359"/>
      <c r="AA123" s="359"/>
      <c r="AB123" s="359"/>
      <c r="AC123" s="359"/>
      <c r="AD123" s="360"/>
      <c r="AE123" s="84">
        <f t="shared" si="2"/>
        <v>1.454895899288614E-2</v>
      </c>
      <c r="AF123" s="225">
        <f>'VI. Insumos Diversos'!I95</f>
        <v>58.59375</v>
      </c>
    </row>
    <row r="124" spans="2:34" ht="25.5" customHeight="1">
      <c r="B124" s="468" t="s">
        <v>37</v>
      </c>
      <c r="C124" s="284"/>
      <c r="D124" s="284"/>
      <c r="E124" s="358" t="s">
        <v>405</v>
      </c>
      <c r="F124" s="359"/>
      <c r="G124" s="359"/>
      <c r="H124" s="359"/>
      <c r="I124" s="359"/>
      <c r="J124" s="359"/>
      <c r="K124" s="359"/>
      <c r="L124" s="359"/>
      <c r="M124" s="359"/>
      <c r="N124" s="359"/>
      <c r="O124" s="359"/>
      <c r="P124" s="359"/>
      <c r="Q124" s="359"/>
      <c r="R124" s="359"/>
      <c r="S124" s="359"/>
      <c r="T124" s="359"/>
      <c r="U124" s="359"/>
      <c r="V124" s="359"/>
      <c r="W124" s="359"/>
      <c r="X124" s="359"/>
      <c r="Y124" s="359"/>
      <c r="Z124" s="359"/>
      <c r="AA124" s="359"/>
      <c r="AB124" s="359"/>
      <c r="AC124" s="359"/>
      <c r="AD124" s="360"/>
      <c r="AE124" s="84">
        <f t="shared" si="2"/>
        <v>1.9398611990514852E-4</v>
      </c>
      <c r="AF124" s="225">
        <f>'VI. Insumos Diversos'!I96</f>
        <v>0.78125</v>
      </c>
    </row>
    <row r="125" spans="2:34" ht="25.5" customHeight="1">
      <c r="B125" s="468" t="s">
        <v>39</v>
      </c>
      <c r="C125" s="284"/>
      <c r="D125" s="284"/>
      <c r="E125" s="358" t="s">
        <v>408</v>
      </c>
      <c r="F125" s="359"/>
      <c r="G125" s="359"/>
      <c r="H125" s="359"/>
      <c r="I125" s="359"/>
      <c r="J125" s="359"/>
      <c r="K125" s="359"/>
      <c r="L125" s="359"/>
      <c r="M125" s="359"/>
      <c r="N125" s="359"/>
      <c r="O125" s="359"/>
      <c r="P125" s="359"/>
      <c r="Q125" s="359"/>
      <c r="R125" s="359"/>
      <c r="S125" s="359"/>
      <c r="T125" s="359"/>
      <c r="U125" s="359"/>
      <c r="V125" s="359"/>
      <c r="W125" s="359"/>
      <c r="X125" s="359"/>
      <c r="Y125" s="359"/>
      <c r="Z125" s="359"/>
      <c r="AA125" s="359"/>
      <c r="AB125" s="359"/>
      <c r="AC125" s="359"/>
      <c r="AD125" s="360"/>
      <c r="AE125" s="84">
        <f t="shared" si="2"/>
        <v>3.8797223981029705E-4</v>
      </c>
      <c r="AF125" s="225">
        <f>'VI. Insumos Diversos'!I97</f>
        <v>1.5625</v>
      </c>
    </row>
    <row r="126" spans="2:34" ht="25.5" customHeight="1">
      <c r="B126" s="468" t="s">
        <v>41</v>
      </c>
      <c r="C126" s="284"/>
      <c r="D126" s="284"/>
      <c r="E126" s="358" t="s">
        <v>409</v>
      </c>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60"/>
      <c r="AE126" s="84">
        <f t="shared" si="2"/>
        <v>6.4662039968382845E-4</v>
      </c>
      <c r="AF126" s="225">
        <f>'VI. Insumos Diversos'!I98</f>
        <v>2.6041666666666665</v>
      </c>
    </row>
    <row r="127" spans="2:34" ht="25.5" customHeight="1">
      <c r="B127" s="468" t="s">
        <v>401</v>
      </c>
      <c r="C127" s="284"/>
      <c r="D127" s="284"/>
      <c r="E127" s="358" t="s">
        <v>410</v>
      </c>
      <c r="F127" s="359"/>
      <c r="G127" s="359"/>
      <c r="H127" s="359"/>
      <c r="I127" s="359"/>
      <c r="J127" s="359"/>
      <c r="K127" s="359"/>
      <c r="L127" s="359"/>
      <c r="M127" s="359"/>
      <c r="N127" s="359"/>
      <c r="O127" s="359"/>
      <c r="P127" s="359"/>
      <c r="Q127" s="359"/>
      <c r="R127" s="359"/>
      <c r="S127" s="359"/>
      <c r="T127" s="359"/>
      <c r="U127" s="359"/>
      <c r="V127" s="359"/>
      <c r="W127" s="359"/>
      <c r="X127" s="359"/>
      <c r="Y127" s="359"/>
      <c r="Z127" s="359"/>
      <c r="AA127" s="359"/>
      <c r="AB127" s="359"/>
      <c r="AC127" s="359"/>
      <c r="AD127" s="360"/>
      <c r="AE127" s="84">
        <f t="shared" si="2"/>
        <v>2.3758385373343099E-2</v>
      </c>
      <c r="AF127" s="225">
        <f>'VI. Insumos Diversos'!I99</f>
        <v>95.683333333333337</v>
      </c>
    </row>
    <row r="128" spans="2:34" ht="25.5" customHeight="1">
      <c r="B128" s="468" t="s">
        <v>396</v>
      </c>
      <c r="C128" s="284"/>
      <c r="D128" s="284"/>
      <c r="E128" s="358" t="s">
        <v>411</v>
      </c>
      <c r="F128" s="359"/>
      <c r="G128" s="359"/>
      <c r="H128" s="359"/>
      <c r="I128" s="359"/>
      <c r="J128" s="359"/>
      <c r="K128" s="359"/>
      <c r="L128" s="359"/>
      <c r="M128" s="359"/>
      <c r="N128" s="359"/>
      <c r="O128" s="359"/>
      <c r="P128" s="359"/>
      <c r="Q128" s="359"/>
      <c r="R128" s="359"/>
      <c r="S128" s="359"/>
      <c r="T128" s="359"/>
      <c r="U128" s="359"/>
      <c r="V128" s="359"/>
      <c r="W128" s="359"/>
      <c r="X128" s="359"/>
      <c r="Y128" s="359"/>
      <c r="Z128" s="359"/>
      <c r="AA128" s="359"/>
      <c r="AB128" s="359"/>
      <c r="AC128" s="359"/>
      <c r="AD128" s="360"/>
      <c r="AE128" s="84">
        <f t="shared" si="2"/>
        <v>2.0526317967563452E-2</v>
      </c>
      <c r="AF128" s="225">
        <f>'VI. Insumos Diversos'!I100</f>
        <v>82.666666666666671</v>
      </c>
    </row>
    <row r="129" spans="2:34" ht="25.5" customHeight="1">
      <c r="B129" s="468" t="s">
        <v>402</v>
      </c>
      <c r="C129" s="284"/>
      <c r="D129" s="284"/>
      <c r="E129" s="419" t="s">
        <v>233</v>
      </c>
      <c r="F129" s="419"/>
      <c r="G129" s="419"/>
      <c r="H129" s="469" t="s">
        <v>260</v>
      </c>
      <c r="I129" s="469"/>
      <c r="J129" s="469"/>
      <c r="K129" s="469"/>
      <c r="L129" s="469"/>
      <c r="M129" s="469"/>
      <c r="N129" s="469"/>
      <c r="O129" s="469"/>
      <c r="P129" s="469"/>
      <c r="Q129" s="469"/>
      <c r="R129" s="469"/>
      <c r="S129" s="469"/>
      <c r="T129" s="469"/>
      <c r="U129" s="469"/>
      <c r="V129" s="469"/>
      <c r="W129" s="469"/>
      <c r="X129" s="469"/>
      <c r="Y129" s="469"/>
      <c r="Z129" s="469"/>
      <c r="AA129" s="469"/>
      <c r="AB129" s="469"/>
      <c r="AC129" s="469"/>
      <c r="AD129" s="469"/>
      <c r="AE129" s="84">
        <f t="shared" si="2"/>
        <v>0</v>
      </c>
      <c r="AF129" s="226"/>
    </row>
    <row r="130" spans="2:34" ht="18" customHeight="1" thickBot="1">
      <c r="B130" s="221" t="s">
        <v>62</v>
      </c>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3">
        <f>AE166</f>
        <v>7.8296936364275913E-2</v>
      </c>
      <c r="AF130" s="224">
        <f>SUM(AF120:AF129)</f>
        <v>315.32916666666665</v>
      </c>
    </row>
    <row r="131" spans="2:34" ht="13.5" thickBot="1">
      <c r="D131" s="1"/>
    </row>
    <row r="132" spans="2:34" ht="24" customHeight="1" thickBot="1">
      <c r="B132" s="518" t="s">
        <v>261</v>
      </c>
      <c r="C132" s="519"/>
      <c r="D132" s="519"/>
      <c r="E132" s="519"/>
      <c r="F132" s="519"/>
      <c r="G132" s="519"/>
      <c r="H132" s="519"/>
      <c r="I132" s="519"/>
      <c r="J132" s="519"/>
      <c r="K132" s="519"/>
      <c r="L132" s="519"/>
      <c r="M132" s="519"/>
      <c r="N132" s="519"/>
      <c r="O132" s="519"/>
      <c r="P132" s="519"/>
      <c r="Q132" s="519"/>
      <c r="R132" s="519"/>
      <c r="S132" s="519"/>
      <c r="T132" s="519"/>
      <c r="U132" s="519"/>
      <c r="V132" s="519"/>
      <c r="W132" s="519"/>
      <c r="X132" s="519"/>
      <c r="Y132" s="519"/>
      <c r="Z132" s="519"/>
      <c r="AA132" s="519"/>
      <c r="AB132" s="519"/>
      <c r="AC132" s="519"/>
      <c r="AD132" s="519"/>
      <c r="AE132" s="519"/>
      <c r="AF132" s="520"/>
    </row>
    <row r="133" spans="2:34" ht="13.5" thickBot="1"/>
    <row r="134" spans="2:34" ht="18" customHeight="1">
      <c r="B134" s="472">
        <v>6</v>
      </c>
      <c r="C134" s="473"/>
      <c r="D134" s="473"/>
      <c r="E134" s="474" t="s">
        <v>118</v>
      </c>
      <c r="F134" s="474"/>
      <c r="G134" s="474"/>
      <c r="H134" s="474"/>
      <c r="I134" s="474"/>
      <c r="J134" s="474"/>
      <c r="K134" s="474"/>
      <c r="L134" s="474"/>
      <c r="M134" s="474"/>
      <c r="N134" s="474"/>
      <c r="O134" s="474"/>
      <c r="P134" s="474"/>
      <c r="Q134" s="474"/>
      <c r="R134" s="474"/>
      <c r="S134" s="474"/>
      <c r="T134" s="474"/>
      <c r="U134" s="474"/>
      <c r="V134" s="474"/>
      <c r="W134" s="474"/>
      <c r="X134" s="474"/>
      <c r="Y134" s="474"/>
      <c r="Z134" s="474"/>
      <c r="AA134" s="474"/>
      <c r="AB134" s="474"/>
      <c r="AC134" s="474"/>
      <c r="AD134" s="474"/>
      <c r="AE134" s="216" t="s">
        <v>31</v>
      </c>
      <c r="AF134" s="217" t="s">
        <v>24</v>
      </c>
    </row>
    <row r="135" spans="2:34" ht="15.75" customHeight="1">
      <c r="B135" s="468" t="s">
        <v>7</v>
      </c>
      <c r="C135" s="284"/>
      <c r="D135" s="284"/>
      <c r="E135" s="324" t="s">
        <v>262</v>
      </c>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181">
        <v>0.06</v>
      </c>
      <c r="AF135" s="218">
        <f>ROUND(AF$167*AE135,2)</f>
        <v>512.01</v>
      </c>
    </row>
    <row r="136" spans="2:34" ht="15.75" customHeight="1">
      <c r="B136" s="468" t="s">
        <v>9</v>
      </c>
      <c r="C136" s="284"/>
      <c r="D136" s="284"/>
      <c r="E136" s="324" t="s">
        <v>263</v>
      </c>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182">
        <v>6.7900000000000002E-2</v>
      </c>
      <c r="AF136" s="218">
        <f>ROUND(((AF$167+AF$135)*AE136),2)</f>
        <v>614.20000000000005</v>
      </c>
      <c r="AH136" s="63"/>
    </row>
    <row r="137" spans="2:34" ht="15.75" customHeight="1">
      <c r="B137" s="501" t="s">
        <v>11</v>
      </c>
      <c r="C137" s="327"/>
      <c r="D137" s="327"/>
      <c r="E137" s="502" t="s">
        <v>120</v>
      </c>
      <c r="F137" s="502"/>
      <c r="G137" s="502"/>
      <c r="H137" s="502"/>
      <c r="I137" s="502"/>
      <c r="J137" s="502"/>
      <c r="K137" s="502"/>
      <c r="L137" s="502"/>
      <c r="M137" s="502"/>
      <c r="N137" s="502"/>
      <c r="O137" s="502"/>
      <c r="P137" s="502"/>
      <c r="Q137" s="502"/>
      <c r="R137" s="502"/>
      <c r="S137" s="502"/>
      <c r="T137" s="502"/>
      <c r="U137" s="502"/>
      <c r="V137" s="502"/>
      <c r="W137" s="502"/>
      <c r="X137" s="502"/>
      <c r="Y137" s="502"/>
      <c r="Z137" s="502"/>
      <c r="AA137" s="502"/>
      <c r="AB137" s="502"/>
      <c r="AC137" s="502"/>
      <c r="AD137" s="502"/>
      <c r="AE137" s="70">
        <f>SUM(AE138,AE148)</f>
        <v>8.6499999999999994E-2</v>
      </c>
      <c r="AF137" s="218">
        <f>SUM(AF138,AF148)</f>
        <v>914.68000000000006</v>
      </c>
    </row>
    <row r="138" spans="2:34" ht="15.75" customHeight="1">
      <c r="B138" s="501"/>
      <c r="C138" s="327"/>
      <c r="D138" s="327"/>
      <c r="E138" s="503" t="s">
        <v>264</v>
      </c>
      <c r="F138" s="503"/>
      <c r="G138" s="503"/>
      <c r="H138" s="503"/>
      <c r="I138" s="503"/>
      <c r="J138" s="503"/>
      <c r="K138" s="503"/>
      <c r="L138" s="503"/>
      <c r="M138" s="503"/>
      <c r="N138" s="503"/>
      <c r="O138" s="503"/>
      <c r="P138" s="503"/>
      <c r="Q138" s="503"/>
      <c r="R138" s="503"/>
      <c r="S138" s="503"/>
      <c r="T138" s="503"/>
      <c r="U138" s="503"/>
      <c r="V138" s="503"/>
      <c r="W138" s="503"/>
      <c r="X138" s="503"/>
      <c r="Y138" s="503"/>
      <c r="Z138" s="503"/>
      <c r="AA138" s="503"/>
      <c r="AB138" s="503"/>
      <c r="AC138" s="503"/>
      <c r="AD138" s="503"/>
      <c r="AE138" s="183">
        <f>SUM(AE139:AE142)</f>
        <v>3.6499999999999998E-2</v>
      </c>
      <c r="AF138" s="219">
        <f>SUM(AF139:AF142)</f>
        <v>385.96000000000004</v>
      </c>
    </row>
    <row r="139" spans="2:34" ht="15.75" customHeight="1">
      <c r="B139" s="501"/>
      <c r="C139" s="327"/>
      <c r="D139" s="327"/>
      <c r="E139" s="481" t="s">
        <v>265</v>
      </c>
      <c r="F139" s="481"/>
      <c r="G139" s="481"/>
      <c r="H139" s="481"/>
      <c r="I139" s="481"/>
      <c r="J139" s="481"/>
      <c r="K139" s="481"/>
      <c r="L139" s="481"/>
      <c r="M139" s="481"/>
      <c r="N139" s="481"/>
      <c r="O139" s="481"/>
      <c r="P139" s="481"/>
      <c r="Q139" s="481"/>
      <c r="R139" s="481"/>
      <c r="S139" s="481"/>
      <c r="T139" s="481"/>
      <c r="U139" s="481"/>
      <c r="V139" s="481"/>
      <c r="W139" s="481"/>
      <c r="X139" s="481"/>
      <c r="Y139" s="481"/>
      <c r="Z139" s="481"/>
      <c r="AA139" s="481"/>
      <c r="AB139" s="481"/>
      <c r="AC139" s="481"/>
      <c r="AD139" s="481"/>
      <c r="AE139" s="76">
        <f>IF($J$7=1,0.0044,IF($J$7=2,0.0165,IF($J$7=3,0.0065,0)))</f>
        <v>6.4999999999999997E-3</v>
      </c>
      <c r="AF139" s="212">
        <f>ROUND(AF$180*AE139,2)</f>
        <v>68.73</v>
      </c>
    </row>
    <row r="140" spans="2:34" ht="15.75" customHeight="1">
      <c r="B140" s="501"/>
      <c r="C140" s="327"/>
      <c r="D140" s="327"/>
      <c r="E140" s="481" t="s">
        <v>266</v>
      </c>
      <c r="F140" s="481"/>
      <c r="G140" s="481"/>
      <c r="H140" s="481"/>
      <c r="I140" s="481"/>
      <c r="J140" s="481"/>
      <c r="K140" s="481"/>
      <c r="L140" s="481"/>
      <c r="M140" s="481"/>
      <c r="N140" s="481"/>
      <c r="O140" s="481"/>
      <c r="P140" s="481"/>
      <c r="Q140" s="481"/>
      <c r="R140" s="481"/>
      <c r="S140" s="481"/>
      <c r="T140" s="481"/>
      <c r="U140" s="481"/>
      <c r="V140" s="481"/>
      <c r="W140" s="481"/>
      <c r="X140" s="481"/>
      <c r="Y140" s="481"/>
      <c r="Z140" s="481"/>
      <c r="AA140" s="481"/>
      <c r="AB140" s="481"/>
      <c r="AC140" s="481"/>
      <c r="AD140" s="481"/>
      <c r="AE140" s="76">
        <f>IF($J$7=1,0.0235,IF($J$7=2,0.076,IF($J$7=3,0.03,0)))</f>
        <v>0.03</v>
      </c>
      <c r="AF140" s="212">
        <f>ROUND(AF$180*AE140,2)</f>
        <v>317.23</v>
      </c>
    </row>
    <row r="141" spans="2:34" ht="15.75" customHeight="1">
      <c r="B141" s="501"/>
      <c r="C141" s="327"/>
      <c r="D141" s="327"/>
      <c r="E141" s="66" t="s">
        <v>267</v>
      </c>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128"/>
      <c r="AE141" s="76">
        <f>IF(AE54&gt;0,0,IF(AD141="",0.045,AD141))</f>
        <v>0</v>
      </c>
      <c r="AF141" s="220">
        <f>ROUND(AF$180*AE141,2)</f>
        <v>0</v>
      </c>
    </row>
    <row r="142" spans="2:34">
      <c r="B142" s="501"/>
      <c r="C142" s="327"/>
      <c r="D142" s="327"/>
      <c r="E142" s="481" t="s">
        <v>268</v>
      </c>
      <c r="F142" s="481"/>
      <c r="G142" s="481"/>
      <c r="H142" s="481"/>
      <c r="I142" s="481"/>
      <c r="J142" s="481"/>
      <c r="K142" s="481"/>
      <c r="L142" s="481"/>
      <c r="M142" s="481"/>
      <c r="N142" s="481"/>
      <c r="O142" s="481"/>
      <c r="P142" s="481"/>
      <c r="Q142" s="481"/>
      <c r="R142" s="481"/>
      <c r="S142" s="481"/>
      <c r="T142" s="481"/>
      <c r="U142" s="481"/>
      <c r="V142" s="481"/>
      <c r="W142" s="481"/>
      <c r="X142" s="481"/>
      <c r="Y142" s="481"/>
      <c r="Z142" s="481"/>
      <c r="AA142" s="481"/>
      <c r="AB142" s="481"/>
      <c r="AC142" s="481"/>
      <c r="AD142" s="481"/>
      <c r="AE142" s="76"/>
      <c r="AF142" s="220"/>
    </row>
    <row r="143" spans="2:34" ht="15.75" customHeight="1">
      <c r="B143" s="501"/>
      <c r="C143" s="327"/>
      <c r="D143" s="327"/>
      <c r="E143" s="503" t="s">
        <v>269</v>
      </c>
      <c r="F143" s="503"/>
      <c r="G143" s="503"/>
      <c r="H143" s="503"/>
      <c r="I143" s="503"/>
      <c r="J143" s="503"/>
      <c r="K143" s="503"/>
      <c r="L143" s="503"/>
      <c r="M143" s="503"/>
      <c r="N143" s="503"/>
      <c r="O143" s="503"/>
      <c r="P143" s="503"/>
      <c r="Q143" s="503"/>
      <c r="R143" s="503"/>
      <c r="S143" s="503"/>
      <c r="T143" s="503"/>
      <c r="U143" s="503"/>
      <c r="V143" s="503"/>
      <c r="W143" s="503"/>
      <c r="X143" s="503"/>
      <c r="Y143" s="503"/>
      <c r="Z143" s="503"/>
      <c r="AA143" s="503"/>
      <c r="AB143" s="503"/>
      <c r="AC143" s="503"/>
      <c r="AD143" s="503"/>
      <c r="AE143" s="70" t="s">
        <v>270</v>
      </c>
      <c r="AF143" s="218">
        <v>0</v>
      </c>
    </row>
    <row r="144" spans="2:34">
      <c r="B144" s="501"/>
      <c r="C144" s="327"/>
      <c r="D144" s="327"/>
      <c r="E144" s="481" t="s">
        <v>271</v>
      </c>
      <c r="F144" s="481"/>
      <c r="G144" s="481"/>
      <c r="H144" s="481"/>
      <c r="I144" s="481"/>
      <c r="J144" s="481"/>
      <c r="K144" s="481"/>
      <c r="L144" s="481"/>
      <c r="M144" s="481"/>
      <c r="N144" s="481"/>
      <c r="O144" s="481"/>
      <c r="P144" s="481"/>
      <c r="Q144" s="481"/>
      <c r="R144" s="481"/>
      <c r="S144" s="481"/>
      <c r="T144" s="481"/>
      <c r="U144" s="481"/>
      <c r="V144" s="481"/>
      <c r="W144" s="481"/>
      <c r="X144" s="481"/>
      <c r="Y144" s="481"/>
      <c r="Z144" s="481"/>
      <c r="AA144" s="481"/>
      <c r="AB144" s="481"/>
      <c r="AC144" s="481"/>
      <c r="AD144" s="481"/>
      <c r="AE144" s="76"/>
      <c r="AF144" s="220"/>
    </row>
    <row r="145" spans="2:32">
      <c r="B145" s="501"/>
      <c r="C145" s="327"/>
      <c r="D145" s="327"/>
      <c r="E145" s="481" t="s">
        <v>272</v>
      </c>
      <c r="F145" s="481"/>
      <c r="G145" s="481"/>
      <c r="H145" s="481"/>
      <c r="I145" s="481"/>
      <c r="J145" s="481"/>
      <c r="K145" s="481"/>
      <c r="L145" s="481"/>
      <c r="M145" s="481"/>
      <c r="N145" s="481"/>
      <c r="O145" s="481"/>
      <c r="P145" s="481"/>
      <c r="Q145" s="481"/>
      <c r="R145" s="481"/>
      <c r="S145" s="481"/>
      <c r="T145" s="481"/>
      <c r="U145" s="481"/>
      <c r="V145" s="481"/>
      <c r="W145" s="481"/>
      <c r="X145" s="481"/>
      <c r="Y145" s="481"/>
      <c r="Z145" s="481"/>
      <c r="AA145" s="481"/>
      <c r="AB145" s="481"/>
      <c r="AC145" s="481"/>
      <c r="AD145" s="481"/>
      <c r="AE145" s="76"/>
      <c r="AF145" s="220"/>
    </row>
    <row r="146" spans="2:32">
      <c r="B146" s="501"/>
      <c r="C146" s="327"/>
      <c r="D146" s="327"/>
      <c r="E146" s="481" t="s">
        <v>273</v>
      </c>
      <c r="F146" s="481"/>
      <c r="G146" s="481"/>
      <c r="H146" s="481"/>
      <c r="I146" s="481"/>
      <c r="J146" s="481"/>
      <c r="K146" s="481"/>
      <c r="L146" s="481"/>
      <c r="M146" s="481"/>
      <c r="N146" s="481"/>
      <c r="O146" s="481"/>
      <c r="P146" s="481"/>
      <c r="Q146" s="481"/>
      <c r="R146" s="481"/>
      <c r="S146" s="481"/>
      <c r="T146" s="481"/>
      <c r="U146" s="481"/>
      <c r="V146" s="481"/>
      <c r="W146" s="481"/>
      <c r="X146" s="481"/>
      <c r="Y146" s="481"/>
      <c r="Z146" s="481"/>
      <c r="AA146" s="481"/>
      <c r="AB146" s="481"/>
      <c r="AC146" s="481"/>
      <c r="AD146" s="481"/>
      <c r="AE146" s="76"/>
      <c r="AF146" s="220"/>
    </row>
    <row r="147" spans="2:32">
      <c r="B147" s="501"/>
      <c r="C147" s="327"/>
      <c r="D147" s="327"/>
      <c r="E147" s="481" t="s">
        <v>274</v>
      </c>
      <c r="F147" s="481"/>
      <c r="G147" s="481"/>
      <c r="H147" s="481"/>
      <c r="I147" s="481"/>
      <c r="J147" s="481"/>
      <c r="K147" s="481"/>
      <c r="L147" s="481"/>
      <c r="M147" s="481"/>
      <c r="N147" s="481"/>
      <c r="O147" s="481"/>
      <c r="P147" s="481"/>
      <c r="Q147" s="481"/>
      <c r="R147" s="481"/>
      <c r="S147" s="481"/>
      <c r="T147" s="481"/>
      <c r="U147" s="481"/>
      <c r="V147" s="481"/>
      <c r="W147" s="481"/>
      <c r="X147" s="481"/>
      <c r="Y147" s="481"/>
      <c r="Z147" s="481"/>
      <c r="AA147" s="481"/>
      <c r="AB147" s="481"/>
      <c r="AC147" s="481"/>
      <c r="AD147" s="481"/>
      <c r="AE147" s="76"/>
      <c r="AF147" s="220"/>
    </row>
    <row r="148" spans="2:32" ht="15.75" customHeight="1">
      <c r="B148" s="501"/>
      <c r="C148" s="327"/>
      <c r="D148" s="327"/>
      <c r="E148" s="503" t="s">
        <v>275</v>
      </c>
      <c r="F148" s="503"/>
      <c r="G148" s="503"/>
      <c r="H148" s="503"/>
      <c r="I148" s="503"/>
      <c r="J148" s="503"/>
      <c r="K148" s="503"/>
      <c r="L148" s="503"/>
      <c r="M148" s="503"/>
      <c r="N148" s="503"/>
      <c r="O148" s="503"/>
      <c r="P148" s="503"/>
      <c r="Q148" s="503"/>
      <c r="R148" s="503"/>
      <c r="S148" s="503"/>
      <c r="T148" s="503"/>
      <c r="U148" s="503"/>
      <c r="V148" s="503"/>
      <c r="W148" s="503"/>
      <c r="X148" s="503"/>
      <c r="Y148" s="503"/>
      <c r="Z148" s="503"/>
      <c r="AA148" s="503"/>
      <c r="AB148" s="503"/>
      <c r="AC148" s="503"/>
      <c r="AD148" s="503"/>
      <c r="AE148" s="183">
        <f>SUM(AE149)</f>
        <v>0.05</v>
      </c>
      <c r="AF148" s="219">
        <f>SUM(AF149:AF152)</f>
        <v>528.72</v>
      </c>
    </row>
    <row r="149" spans="2:32" ht="15.75" customHeight="1">
      <c r="B149" s="501"/>
      <c r="C149" s="327"/>
      <c r="D149" s="327"/>
      <c r="E149" s="295" t="s">
        <v>276</v>
      </c>
      <c r="F149" s="295"/>
      <c r="G149" s="295"/>
      <c r="H149" s="295"/>
      <c r="I149" s="295"/>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184">
        <v>0.05</v>
      </c>
      <c r="AF149" s="212">
        <f>ROUND(AF$180*AE149,2)</f>
        <v>528.72</v>
      </c>
    </row>
    <row r="150" spans="2:32" ht="12.75" customHeight="1">
      <c r="B150" s="501"/>
      <c r="C150" s="327"/>
      <c r="D150" s="327"/>
      <c r="E150" s="295" t="s">
        <v>133</v>
      </c>
      <c r="F150" s="295"/>
      <c r="G150" s="295"/>
      <c r="H150" s="295"/>
      <c r="I150" s="295"/>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185"/>
      <c r="AF150" s="220"/>
    </row>
    <row r="151" spans="2:32" ht="12.75" customHeight="1">
      <c r="B151" s="501"/>
      <c r="C151" s="327"/>
      <c r="D151" s="327"/>
      <c r="E151" s="295" t="s">
        <v>134</v>
      </c>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185"/>
      <c r="AF151" s="220"/>
    </row>
    <row r="152" spans="2:32" ht="12.75" customHeight="1">
      <c r="B152" s="501"/>
      <c r="C152" s="327"/>
      <c r="D152" s="327"/>
      <c r="E152" s="295" t="s">
        <v>135</v>
      </c>
      <c r="F152" s="295"/>
      <c r="G152" s="295"/>
      <c r="H152" s="295"/>
      <c r="I152" s="295"/>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185"/>
      <c r="AF152" s="220"/>
    </row>
    <row r="153" spans="2:32" ht="12.75" customHeight="1">
      <c r="B153" s="501"/>
      <c r="C153" s="327"/>
      <c r="D153" s="327"/>
      <c r="E153" s="330" t="s">
        <v>136</v>
      </c>
      <c r="F153" s="330"/>
      <c r="G153" s="330"/>
      <c r="H153" s="330"/>
      <c r="I153" s="330"/>
      <c r="J153" s="330"/>
      <c r="K153" s="330"/>
      <c r="L153" s="330"/>
      <c r="M153" s="330"/>
      <c r="N153" s="330"/>
      <c r="O153" s="330"/>
      <c r="P153" s="330"/>
      <c r="Q153" s="330"/>
      <c r="R153" s="330"/>
      <c r="S153" s="330"/>
      <c r="T153" s="330"/>
      <c r="U153" s="330"/>
      <c r="V153" s="330"/>
      <c r="W153" s="330"/>
      <c r="X153" s="330"/>
      <c r="Y153" s="330"/>
      <c r="Z153" s="330"/>
      <c r="AA153" s="330"/>
      <c r="AB153" s="330"/>
      <c r="AC153" s="330"/>
      <c r="AD153" s="330"/>
      <c r="AE153" s="185"/>
      <c r="AF153" s="220"/>
    </row>
    <row r="154" spans="2:32" ht="12.75" customHeight="1">
      <c r="B154" s="501"/>
      <c r="C154" s="327"/>
      <c r="D154" s="327"/>
      <c r="E154" s="295" t="s">
        <v>137</v>
      </c>
      <c r="F154" s="295"/>
      <c r="G154" s="295"/>
      <c r="H154" s="295"/>
      <c r="I154" s="295"/>
      <c r="J154" s="295"/>
      <c r="K154" s="295"/>
      <c r="L154" s="295"/>
      <c r="M154" s="295"/>
      <c r="N154" s="295"/>
      <c r="O154" s="295"/>
      <c r="P154" s="295"/>
      <c r="Q154" s="295"/>
      <c r="R154" s="295"/>
      <c r="S154" s="295"/>
      <c r="T154" s="295"/>
      <c r="U154" s="295"/>
      <c r="V154" s="295"/>
      <c r="W154" s="295"/>
      <c r="X154" s="295"/>
      <c r="Y154" s="295"/>
      <c r="Z154" s="295"/>
      <c r="AA154" s="295"/>
      <c r="AB154" s="295"/>
      <c r="AC154" s="295"/>
      <c r="AD154" s="295"/>
      <c r="AE154" s="185"/>
      <c r="AF154" s="220"/>
    </row>
    <row r="155" spans="2:32" ht="12.75" customHeight="1">
      <c r="B155" s="501"/>
      <c r="C155" s="327"/>
      <c r="D155" s="327"/>
      <c r="E155" s="295" t="s">
        <v>138</v>
      </c>
      <c r="F155" s="295"/>
      <c r="G155" s="295"/>
      <c r="H155" s="295"/>
      <c r="I155" s="295"/>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185"/>
      <c r="AF155" s="220"/>
    </row>
    <row r="156" spans="2:32" ht="12.75" customHeight="1">
      <c r="B156" s="501"/>
      <c r="C156" s="327"/>
      <c r="D156" s="327"/>
      <c r="E156" s="295" t="s">
        <v>139</v>
      </c>
      <c r="F156" s="295"/>
      <c r="G156" s="295"/>
      <c r="H156" s="295"/>
      <c r="I156" s="295"/>
      <c r="J156" s="295"/>
      <c r="K156" s="295"/>
      <c r="L156" s="295"/>
      <c r="M156" s="295"/>
      <c r="N156" s="295"/>
      <c r="O156" s="295"/>
      <c r="P156" s="295"/>
      <c r="Q156" s="295"/>
      <c r="R156" s="295"/>
      <c r="S156" s="295"/>
      <c r="T156" s="295"/>
      <c r="U156" s="295"/>
      <c r="V156" s="295"/>
      <c r="W156" s="295"/>
      <c r="X156" s="295"/>
      <c r="Y156" s="295"/>
      <c r="Z156" s="295"/>
      <c r="AA156" s="295"/>
      <c r="AB156" s="295"/>
      <c r="AC156" s="295"/>
      <c r="AD156" s="295"/>
      <c r="AE156" s="185"/>
      <c r="AF156" s="220"/>
    </row>
    <row r="157" spans="2:32">
      <c r="B157" s="501"/>
      <c r="C157" s="327"/>
      <c r="D157" s="327"/>
      <c r="E157" s="295" t="s">
        <v>140</v>
      </c>
      <c r="F157" s="295"/>
      <c r="G157" s="295"/>
      <c r="H157" s="295"/>
      <c r="I157" s="295"/>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185"/>
      <c r="AF157" s="220"/>
    </row>
    <row r="158" spans="2:32" ht="18" customHeight="1" thickBot="1">
      <c r="B158" s="221" t="s">
        <v>142</v>
      </c>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3">
        <f>IF(AF$42=0,"",AF158/AF$42)</f>
        <v>0.50675754528411976</v>
      </c>
      <c r="AF158" s="224">
        <f>SUM(AF136,AF137,AF135)</f>
        <v>2040.89</v>
      </c>
    </row>
    <row r="159" spans="2:32" ht="12.75" customHeight="1" thickBot="1">
      <c r="D159" s="1"/>
    </row>
    <row r="160" spans="2:32" ht="21" customHeight="1">
      <c r="B160" s="521" t="s">
        <v>277</v>
      </c>
      <c r="C160" s="522"/>
      <c r="D160" s="522"/>
      <c r="E160" s="522"/>
      <c r="F160" s="522"/>
      <c r="G160" s="522"/>
      <c r="H160" s="522"/>
      <c r="I160" s="522"/>
      <c r="J160" s="522"/>
      <c r="K160" s="522"/>
      <c r="L160" s="522"/>
      <c r="M160" s="522"/>
      <c r="N160" s="522"/>
      <c r="O160" s="522"/>
      <c r="P160" s="522"/>
      <c r="Q160" s="522"/>
      <c r="R160" s="522"/>
      <c r="S160" s="522"/>
      <c r="T160" s="522"/>
      <c r="U160" s="522"/>
      <c r="V160" s="522"/>
      <c r="W160" s="522"/>
      <c r="X160" s="522"/>
      <c r="Y160" s="522"/>
      <c r="Z160" s="522"/>
      <c r="AA160" s="522"/>
      <c r="AB160" s="522"/>
      <c r="AC160" s="522"/>
      <c r="AD160" s="522"/>
      <c r="AE160" s="522"/>
      <c r="AF160" s="523"/>
    </row>
    <row r="161" spans="2:34" ht="18.75" customHeight="1">
      <c r="B161" s="499" t="s">
        <v>144</v>
      </c>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101" t="s">
        <v>31</v>
      </c>
      <c r="AF161" s="211" t="s">
        <v>24</v>
      </c>
    </row>
    <row r="162" spans="2:34" ht="18.75" customHeight="1">
      <c r="B162" s="468" t="s">
        <v>7</v>
      </c>
      <c r="C162" s="284"/>
      <c r="D162" s="284"/>
      <c r="E162" s="295" t="s">
        <v>145</v>
      </c>
      <c r="F162" s="295"/>
      <c r="G162" s="295"/>
      <c r="H162" s="295"/>
      <c r="I162" s="295"/>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76">
        <f>IF(AF$42=0,"",AF162/AF$42)</f>
        <v>1</v>
      </c>
      <c r="AF162" s="212">
        <f>AF42</f>
        <v>4027.3500000000004</v>
      </c>
    </row>
    <row r="163" spans="2:34" ht="18.75" customHeight="1">
      <c r="B163" s="468" t="s">
        <v>9</v>
      </c>
      <c r="C163" s="284"/>
      <c r="D163" s="284"/>
      <c r="E163" s="295" t="s">
        <v>278</v>
      </c>
      <c r="F163" s="295"/>
      <c r="G163" s="295"/>
      <c r="H163" s="295"/>
      <c r="I163" s="295"/>
      <c r="J163" s="295"/>
      <c r="K163" s="295"/>
      <c r="L163" s="295"/>
      <c r="M163" s="295"/>
      <c r="N163" s="295"/>
      <c r="O163" s="295"/>
      <c r="P163" s="295"/>
      <c r="Q163" s="295"/>
      <c r="R163" s="295"/>
      <c r="S163" s="295"/>
      <c r="T163" s="295"/>
      <c r="U163" s="295"/>
      <c r="V163" s="295"/>
      <c r="W163" s="295"/>
      <c r="X163" s="295"/>
      <c r="Y163" s="295"/>
      <c r="Z163" s="295"/>
      <c r="AA163" s="295"/>
      <c r="AB163" s="295"/>
      <c r="AC163" s="295"/>
      <c r="AD163" s="295"/>
      <c r="AE163" s="76">
        <f>IF(AF$42=0,"",AF163/AF$42)</f>
        <v>0.92876953828199682</v>
      </c>
      <c r="AF163" s="212">
        <f>AF82</f>
        <v>3740.48</v>
      </c>
    </row>
    <row r="164" spans="2:34" ht="18.75" customHeight="1">
      <c r="B164" s="468" t="s">
        <v>11</v>
      </c>
      <c r="C164" s="284"/>
      <c r="D164" s="284"/>
      <c r="E164" s="295" t="s">
        <v>279</v>
      </c>
      <c r="F164" s="295"/>
      <c r="G164" s="295"/>
      <c r="H164" s="295"/>
      <c r="I164" s="295"/>
      <c r="J164" s="295"/>
      <c r="K164" s="295"/>
      <c r="L164" s="295"/>
      <c r="M164" s="295"/>
      <c r="N164" s="295"/>
      <c r="O164" s="295"/>
      <c r="P164" s="295"/>
      <c r="Q164" s="295"/>
      <c r="R164" s="295"/>
      <c r="S164" s="295"/>
      <c r="T164" s="295"/>
      <c r="U164" s="295"/>
      <c r="V164" s="295"/>
      <c r="W164" s="295"/>
      <c r="X164" s="295"/>
      <c r="Y164" s="295"/>
      <c r="Z164" s="295"/>
      <c r="AA164" s="295"/>
      <c r="AB164" s="295"/>
      <c r="AC164" s="295"/>
      <c r="AD164" s="295"/>
      <c r="AE164" s="76">
        <f>IF(AF$42=0,"",AF164/AF$42)</f>
        <v>7.1098861534259497E-2</v>
      </c>
      <c r="AF164" s="212">
        <f>AF93</f>
        <v>286.34000000000003</v>
      </c>
    </row>
    <row r="165" spans="2:34" ht="18.75" customHeight="1">
      <c r="B165" s="468" t="s">
        <v>13</v>
      </c>
      <c r="C165" s="284"/>
      <c r="D165" s="284"/>
      <c r="E165" s="295" t="s">
        <v>280</v>
      </c>
      <c r="F165" s="295"/>
      <c r="G165" s="295"/>
      <c r="H165" s="295"/>
      <c r="I165" s="295"/>
      <c r="J165" s="295"/>
      <c r="K165" s="295"/>
      <c r="L165" s="295"/>
      <c r="M165" s="295"/>
      <c r="N165" s="295"/>
      <c r="O165" s="295"/>
      <c r="P165" s="295"/>
      <c r="Q165" s="295"/>
      <c r="R165" s="295"/>
      <c r="S165" s="295"/>
      <c r="T165" s="295"/>
      <c r="U165" s="295"/>
      <c r="V165" s="295"/>
      <c r="W165" s="295"/>
      <c r="X165" s="295"/>
      <c r="Y165" s="295"/>
      <c r="Z165" s="295"/>
      <c r="AA165" s="295"/>
      <c r="AB165" s="295"/>
      <c r="AC165" s="295"/>
      <c r="AD165" s="295"/>
      <c r="AE165" s="76">
        <f>IF(AF$42=0,"",AF165/AF$42)</f>
        <v>4.0740349894632481E-2</v>
      </c>
      <c r="AF165" s="212">
        <f>AF115</f>
        <v>164.07564814814813</v>
      </c>
    </row>
    <row r="166" spans="2:34" ht="18.75" customHeight="1">
      <c r="B166" s="468" t="s">
        <v>37</v>
      </c>
      <c r="C166" s="284"/>
      <c r="D166" s="284"/>
      <c r="E166" s="295" t="s">
        <v>281</v>
      </c>
      <c r="F166" s="295"/>
      <c r="G166" s="295"/>
      <c r="H166" s="295"/>
      <c r="I166" s="295"/>
      <c r="J166" s="295"/>
      <c r="K166" s="295"/>
      <c r="L166" s="295"/>
      <c r="M166" s="295"/>
      <c r="N166" s="295"/>
      <c r="O166" s="295"/>
      <c r="P166" s="295"/>
      <c r="Q166" s="295"/>
      <c r="R166" s="295"/>
      <c r="S166" s="295"/>
      <c r="T166" s="295"/>
      <c r="U166" s="295"/>
      <c r="V166" s="295"/>
      <c r="W166" s="295"/>
      <c r="X166" s="295"/>
      <c r="Y166" s="295"/>
      <c r="Z166" s="295"/>
      <c r="AA166" s="295"/>
      <c r="AB166" s="295"/>
      <c r="AC166" s="295"/>
      <c r="AD166" s="295"/>
      <c r="AE166" s="76">
        <f>IF(AF$42=0,"",AF166/AF$42)</f>
        <v>7.8296936364275913E-2</v>
      </c>
      <c r="AF166" s="212">
        <f>AF130</f>
        <v>315.32916666666665</v>
      </c>
    </row>
    <row r="167" spans="2:34" ht="18.75" customHeight="1">
      <c r="B167" s="504" t="s">
        <v>282</v>
      </c>
      <c r="C167" s="323"/>
      <c r="D167" s="323"/>
      <c r="E167" s="323"/>
      <c r="F167" s="323"/>
      <c r="G167" s="323"/>
      <c r="H167" s="323"/>
      <c r="I167" s="323"/>
      <c r="J167" s="323"/>
      <c r="K167" s="323"/>
      <c r="L167" s="323"/>
      <c r="M167" s="323"/>
      <c r="N167" s="323"/>
      <c r="O167" s="323"/>
      <c r="P167" s="323"/>
      <c r="Q167" s="323"/>
      <c r="R167" s="323"/>
      <c r="S167" s="323"/>
      <c r="T167" s="323"/>
      <c r="U167" s="323"/>
      <c r="V167" s="323"/>
      <c r="W167" s="323"/>
      <c r="X167" s="323"/>
      <c r="Y167" s="323"/>
      <c r="Z167" s="323"/>
      <c r="AA167" s="323"/>
      <c r="AB167" s="323"/>
      <c r="AC167" s="323"/>
      <c r="AD167" s="323"/>
      <c r="AE167" s="186">
        <f>SUM(AE162:AE166)</f>
        <v>2.1189056860751645</v>
      </c>
      <c r="AF167" s="213">
        <f>SUM(AF162:AF166)</f>
        <v>8533.5748148148141</v>
      </c>
    </row>
    <row r="168" spans="2:34" ht="18.75" customHeight="1">
      <c r="B168" s="468" t="s">
        <v>39</v>
      </c>
      <c r="C168" s="284"/>
      <c r="D168" s="284"/>
      <c r="E168" s="295" t="s">
        <v>283</v>
      </c>
      <c r="F168" s="295"/>
      <c r="G168" s="295"/>
      <c r="H168" s="295"/>
      <c r="I168" s="295"/>
      <c r="J168" s="295"/>
      <c r="K168" s="295"/>
      <c r="L168" s="295"/>
      <c r="M168" s="295"/>
      <c r="N168" s="295"/>
      <c r="O168" s="295"/>
      <c r="P168" s="295"/>
      <c r="Q168" s="295"/>
      <c r="R168" s="295"/>
      <c r="S168" s="295"/>
      <c r="T168" s="295"/>
      <c r="U168" s="295"/>
      <c r="V168" s="295"/>
      <c r="W168" s="295"/>
      <c r="X168" s="295"/>
      <c r="Y168" s="295"/>
      <c r="Z168" s="295"/>
      <c r="AA168" s="295"/>
      <c r="AB168" s="295"/>
      <c r="AC168" s="295"/>
      <c r="AD168" s="295"/>
      <c r="AE168" s="76">
        <f>IF(AF$42=0,"",AF168/AF$42)</f>
        <v>0.50675754528411976</v>
      </c>
      <c r="AF168" s="212">
        <f>AF158</f>
        <v>2040.89</v>
      </c>
    </row>
    <row r="169" spans="2:34" ht="18.75" customHeight="1" thickBot="1">
      <c r="B169" s="505" t="s">
        <v>284</v>
      </c>
      <c r="C169" s="506"/>
      <c r="D169" s="506"/>
      <c r="E169" s="506"/>
      <c r="F169" s="506"/>
      <c r="G169" s="506"/>
      <c r="H169" s="506"/>
      <c r="I169" s="506"/>
      <c r="J169" s="506"/>
      <c r="K169" s="506"/>
      <c r="L169" s="506"/>
      <c r="M169" s="506"/>
      <c r="N169" s="506"/>
      <c r="O169" s="506"/>
      <c r="P169" s="506"/>
      <c r="Q169" s="506"/>
      <c r="R169" s="506"/>
      <c r="S169" s="506"/>
      <c r="T169" s="506"/>
      <c r="U169" s="506"/>
      <c r="V169" s="506"/>
      <c r="W169" s="506"/>
      <c r="X169" s="506"/>
      <c r="Y169" s="506"/>
      <c r="Z169" s="506"/>
      <c r="AA169" s="506"/>
      <c r="AB169" s="506"/>
      <c r="AC169" s="506"/>
      <c r="AD169" s="506"/>
      <c r="AE169" s="214">
        <f>SUM(AE164:AE168)</f>
        <v>2.8157993791524518</v>
      </c>
      <c r="AF169" s="215">
        <f>AF167+AF168</f>
        <v>10574.464814814814</v>
      </c>
    </row>
    <row r="170" spans="2:34" ht="13.5" thickBot="1">
      <c r="D170" s="1"/>
    </row>
    <row r="171" spans="2:34" ht="18.75" customHeight="1">
      <c r="B171" s="189" t="s">
        <v>285</v>
      </c>
      <c r="C171" s="190"/>
      <c r="D171" s="190"/>
      <c r="E171" s="190"/>
      <c r="F171" s="190"/>
      <c r="G171" s="190"/>
      <c r="H171" s="190"/>
      <c r="I171" s="190"/>
      <c r="J171" s="190"/>
      <c r="K171" s="190"/>
      <c r="L171" s="190"/>
      <c r="M171" s="190"/>
      <c r="N171" s="190"/>
      <c r="O171" s="190"/>
      <c r="P171" s="190"/>
      <c r="Q171" s="190"/>
      <c r="R171" s="190"/>
      <c r="S171" s="190"/>
      <c r="T171" s="190"/>
      <c r="U171" s="190"/>
      <c r="V171" s="190"/>
      <c r="W171" s="190"/>
      <c r="X171" s="190"/>
      <c r="Y171" s="190"/>
      <c r="Z171" s="190"/>
      <c r="AA171" s="190"/>
      <c r="AB171" s="190"/>
      <c r="AC171" s="190"/>
      <c r="AD171" s="190"/>
      <c r="AE171" s="191"/>
      <c r="AF171" s="192">
        <f>AF169</f>
        <v>10574.464814814814</v>
      </c>
      <c r="AH171" s="62"/>
    </row>
    <row r="172" spans="2:34" ht="18.75" customHeight="1">
      <c r="B172" s="193" t="str">
        <f>"Valor por posto de trabalho (cada posto contém "&amp;AE172&amp;" empregado(s))"</f>
        <v>Valor por posto de trabalho (cada posto contém 2 empregado(s))</v>
      </c>
      <c r="C172" s="178"/>
      <c r="D172" s="178"/>
      <c r="E172" s="178"/>
      <c r="F172" s="178"/>
      <c r="G172" s="178"/>
      <c r="H172" s="178"/>
      <c r="I172" s="178"/>
      <c r="J172" s="178"/>
      <c r="K172" s="178"/>
      <c r="L172" s="178"/>
      <c r="M172" s="178"/>
      <c r="N172" s="178"/>
      <c r="O172" s="178"/>
      <c r="P172" s="178"/>
      <c r="Q172" s="178"/>
      <c r="R172" s="178"/>
      <c r="S172" s="178"/>
      <c r="T172" s="178"/>
      <c r="U172" s="178"/>
      <c r="V172" s="178"/>
      <c r="W172" s="178"/>
      <c r="X172" s="178"/>
      <c r="Y172" s="178"/>
      <c r="Z172" s="178"/>
      <c r="AA172" s="178"/>
      <c r="AB172" s="178"/>
      <c r="AC172" s="178"/>
      <c r="AD172" s="178"/>
      <c r="AE172" s="187">
        <f>AE18</f>
        <v>2</v>
      </c>
      <c r="AF172" s="194">
        <f>AF171*AE172</f>
        <v>21148.929629629627</v>
      </c>
      <c r="AH172" s="138"/>
    </row>
    <row r="173" spans="2:34" ht="18.75" customHeight="1">
      <c r="B173" s="193" t="s">
        <v>286</v>
      </c>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87">
        <f>AE19</f>
        <v>1</v>
      </c>
      <c r="AF173" s="194">
        <f>AF172*AE173</f>
        <v>21148.929629629627</v>
      </c>
    </row>
    <row r="174" spans="2:34" ht="18.75" customHeight="1">
      <c r="B174" s="193" t="s">
        <v>287</v>
      </c>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8"/>
      <c r="AB174" s="178"/>
      <c r="AC174" s="178"/>
      <c r="AD174" s="178"/>
      <c r="AE174" s="187"/>
      <c r="AF174" s="194">
        <f>AF173*12</f>
        <v>253787.15555555554</v>
      </c>
    </row>
    <row r="175" spans="2:34" ht="18.75" customHeight="1">
      <c r="B175" s="193" t="s">
        <v>288</v>
      </c>
      <c r="C175" s="178"/>
      <c r="D175" s="178"/>
      <c r="E175" s="178"/>
      <c r="F175" s="178"/>
      <c r="G175" s="178"/>
      <c r="H175" s="178"/>
      <c r="I175" s="178"/>
      <c r="J175" s="178"/>
      <c r="K175" s="178"/>
      <c r="L175" s="178"/>
      <c r="M175" s="178"/>
      <c r="N175" s="178"/>
      <c r="O175" s="178"/>
      <c r="P175" s="178"/>
      <c r="Q175" s="178"/>
      <c r="R175" s="178"/>
      <c r="S175" s="178"/>
      <c r="T175" s="178"/>
      <c r="U175" s="178"/>
      <c r="V175" s="178"/>
      <c r="W175" s="178"/>
      <c r="X175" s="178"/>
      <c r="Y175" s="178"/>
      <c r="Z175" s="178"/>
      <c r="AA175" s="178"/>
      <c r="AB175" s="178"/>
      <c r="AC175" s="178"/>
      <c r="AD175" s="178"/>
      <c r="AE175" s="187"/>
      <c r="AF175" s="194">
        <f>AF173*AE14</f>
        <v>634467.88888888876</v>
      </c>
    </row>
    <row r="176" spans="2:34" ht="18.75" customHeight="1">
      <c r="B176" s="507"/>
      <c r="C176" s="508"/>
      <c r="D176" s="508"/>
      <c r="E176" s="508"/>
      <c r="F176" s="508"/>
      <c r="G176" s="508"/>
      <c r="H176" s="508"/>
      <c r="I176" s="508"/>
      <c r="J176" s="508"/>
      <c r="K176" s="508"/>
      <c r="L176" s="508"/>
      <c r="M176" s="508"/>
      <c r="N176" s="508"/>
      <c r="O176" s="508"/>
      <c r="P176" s="508"/>
      <c r="Q176" s="508"/>
      <c r="R176" s="508"/>
      <c r="S176" s="508"/>
      <c r="T176" s="508"/>
      <c r="U176" s="508"/>
      <c r="V176" s="508"/>
      <c r="W176" s="508"/>
      <c r="X176" s="508"/>
      <c r="Y176" s="508"/>
      <c r="Z176" s="508"/>
      <c r="AA176" s="508"/>
      <c r="AB176" s="508"/>
      <c r="AC176" s="508"/>
      <c r="AD176" s="508"/>
      <c r="AE176" s="188"/>
      <c r="AF176" s="194">
        <f>IF(AE176=0,0,AF$169/AE176)</f>
        <v>0</v>
      </c>
    </row>
    <row r="177" spans="2:32" ht="18.75" customHeight="1" thickBot="1">
      <c r="B177" s="509"/>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c r="AA177" s="510"/>
      <c r="AB177" s="510"/>
      <c r="AC177" s="510"/>
      <c r="AD177" s="510"/>
      <c r="AE177" s="195"/>
      <c r="AF177" s="196">
        <f>IF(AE177=0,0,AF$169/AE177)</f>
        <v>0</v>
      </c>
    </row>
    <row r="178" spans="2:32" ht="13.5" thickBot="1"/>
    <row r="179" spans="2:32" ht="18.75" customHeight="1">
      <c r="B179" s="197" t="s">
        <v>289</v>
      </c>
      <c r="C179" s="198"/>
      <c r="D179" s="198"/>
      <c r="E179" s="198"/>
      <c r="F179" s="198"/>
      <c r="G179" s="198"/>
      <c r="H179" s="198"/>
      <c r="I179" s="198"/>
      <c r="J179" s="198"/>
      <c r="K179" s="198"/>
      <c r="L179" s="198"/>
      <c r="M179" s="198"/>
      <c r="N179" s="198"/>
      <c r="O179" s="198"/>
      <c r="P179" s="198"/>
      <c r="Q179" s="198"/>
      <c r="R179" s="198"/>
      <c r="S179" s="198"/>
      <c r="T179" s="198"/>
      <c r="U179" s="198"/>
      <c r="V179" s="198"/>
      <c r="W179" s="199"/>
      <c r="X179" s="198"/>
      <c r="Y179" s="198"/>
      <c r="Z179" s="198"/>
      <c r="AA179" s="198"/>
      <c r="AB179" s="198"/>
      <c r="AC179" s="198"/>
      <c r="AD179" s="198"/>
      <c r="AE179" s="200"/>
      <c r="AF179" s="201">
        <f>AF42+AF82+AF93+AF115+AF130+AF135+AF136</f>
        <v>9659.784814814815</v>
      </c>
    </row>
    <row r="180" spans="2:32" ht="18.75" customHeight="1" thickBot="1">
      <c r="B180" s="202" t="s">
        <v>290</v>
      </c>
      <c r="C180" s="203"/>
      <c r="D180" s="203"/>
      <c r="E180" s="203"/>
      <c r="F180" s="203"/>
      <c r="G180" s="203"/>
      <c r="H180" s="203"/>
      <c r="I180" s="203"/>
      <c r="J180" s="203"/>
      <c r="K180" s="203"/>
      <c r="L180" s="203"/>
      <c r="M180" s="203"/>
      <c r="N180" s="203"/>
      <c r="O180" s="203"/>
      <c r="P180" s="203"/>
      <c r="Q180" s="203"/>
      <c r="R180" s="203"/>
      <c r="S180" s="203"/>
      <c r="T180" s="203"/>
      <c r="U180" s="203"/>
      <c r="V180" s="203"/>
      <c r="W180" s="204"/>
      <c r="X180" s="203"/>
      <c r="Y180" s="203"/>
      <c r="Z180" s="203"/>
      <c r="AA180" s="203"/>
      <c r="AB180" s="203"/>
      <c r="AC180" s="203"/>
      <c r="AD180" s="205">
        <f>J7</f>
        <v>3</v>
      </c>
      <c r="AE180" s="206" t="str">
        <f>IF(AD180=1,"Simples",IF(AD180=2,"Lucro Real",IF(AD180=3,"Lucro presumido","Informar regime")))</f>
        <v>Lucro presumido</v>
      </c>
      <c r="AF180" s="207">
        <f>TRUNC(AF179/J8,2)</f>
        <v>10574.47</v>
      </c>
    </row>
    <row r="181" spans="2:32" ht="13.5" thickBot="1">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c r="AA181" s="72"/>
      <c r="AB181" s="72"/>
      <c r="AC181" s="72"/>
      <c r="AD181" s="72"/>
      <c r="AE181" s="72"/>
      <c r="AF181" s="73"/>
    </row>
    <row r="182" spans="2:32" ht="21" customHeight="1">
      <c r="B182" s="208" t="s">
        <v>291</v>
      </c>
      <c r="C182" s="209"/>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10"/>
    </row>
    <row r="183" spans="2:32" ht="16.5" customHeight="1">
      <c r="B183" s="361" t="s">
        <v>412</v>
      </c>
      <c r="C183" s="362"/>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3"/>
    </row>
    <row r="184" spans="2:32" ht="16.5" customHeight="1">
      <c r="B184" s="364"/>
      <c r="C184" s="365"/>
      <c r="D184" s="365"/>
      <c r="E184" s="365"/>
      <c r="F184" s="365"/>
      <c r="G184" s="365"/>
      <c r="H184" s="365"/>
      <c r="I184" s="365"/>
      <c r="J184" s="365"/>
      <c r="K184" s="365"/>
      <c r="L184" s="365"/>
      <c r="M184" s="365"/>
      <c r="N184" s="365"/>
      <c r="O184" s="365"/>
      <c r="P184" s="365"/>
      <c r="Q184" s="365"/>
      <c r="R184" s="365"/>
      <c r="S184" s="365"/>
      <c r="T184" s="365"/>
      <c r="U184" s="365"/>
      <c r="V184" s="365"/>
      <c r="W184" s="365"/>
      <c r="X184" s="365"/>
      <c r="Y184" s="365"/>
      <c r="Z184" s="365"/>
      <c r="AA184" s="365"/>
      <c r="AB184" s="365"/>
      <c r="AC184" s="365"/>
      <c r="AD184" s="365"/>
      <c r="AE184" s="365"/>
      <c r="AF184" s="366"/>
    </row>
    <row r="185" spans="2:32" ht="16.5" customHeight="1" thickBot="1">
      <c r="B185" s="367"/>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9"/>
    </row>
  </sheetData>
  <sheetProtection selectLockedCells="1" selectUnlockedCells="1"/>
  <mergeCells count="243">
    <mergeCell ref="B2:AF3"/>
    <mergeCell ref="AH2:AH3"/>
    <mergeCell ref="B5:I5"/>
    <mergeCell ref="J5:AB5"/>
    <mergeCell ref="AE5:AF5"/>
    <mergeCell ref="B7:I7"/>
    <mergeCell ref="K7:Q7"/>
    <mergeCell ref="AB7:AD7"/>
    <mergeCell ref="AE7:AF7"/>
    <mergeCell ref="B12:D12"/>
    <mergeCell ref="AE12:AF12"/>
    <mergeCell ref="B13:D13"/>
    <mergeCell ref="AE13:AF13"/>
    <mergeCell ref="B14:D14"/>
    <mergeCell ref="AE14:AF14"/>
    <mergeCell ref="B8:I8"/>
    <mergeCell ref="J8:Q8"/>
    <mergeCell ref="AB8:AD8"/>
    <mergeCell ref="AE8:AF8"/>
    <mergeCell ref="B10:AF10"/>
    <mergeCell ref="B11:D11"/>
    <mergeCell ref="AE11:AF11"/>
    <mergeCell ref="X21:AD21"/>
    <mergeCell ref="AE21:AF21"/>
    <mergeCell ref="B23:AD24"/>
    <mergeCell ref="AE23:AF25"/>
    <mergeCell ref="B26:D26"/>
    <mergeCell ref="E26:AD26"/>
    <mergeCell ref="AE26:AF26"/>
    <mergeCell ref="B16:AF16"/>
    <mergeCell ref="AE17:AF17"/>
    <mergeCell ref="B18:W18"/>
    <mergeCell ref="X18:AD18"/>
    <mergeCell ref="AE18:AF18"/>
    <mergeCell ref="B19:W21"/>
    <mergeCell ref="X19:AD19"/>
    <mergeCell ref="AE19:AF19"/>
    <mergeCell ref="X20:AD20"/>
    <mergeCell ref="AE20:AF20"/>
    <mergeCell ref="AG28:AJ28"/>
    <mergeCell ref="B29:D29"/>
    <mergeCell ref="E29:AD29"/>
    <mergeCell ref="AE29:AF29"/>
    <mergeCell ref="B30:D30"/>
    <mergeCell ref="E30:AD30"/>
    <mergeCell ref="AE30:AF30"/>
    <mergeCell ref="B27:D27"/>
    <mergeCell ref="E27:AD27"/>
    <mergeCell ref="AE27:AF27"/>
    <mergeCell ref="B28:D28"/>
    <mergeCell ref="E28:AD28"/>
    <mergeCell ref="AE28:AF28"/>
    <mergeCell ref="AG37:AK38"/>
    <mergeCell ref="B38:D38"/>
    <mergeCell ref="E38:AC38"/>
    <mergeCell ref="B31:D31"/>
    <mergeCell ref="E31:AD31"/>
    <mergeCell ref="AE31:AF31"/>
    <mergeCell ref="B33:AF33"/>
    <mergeCell ref="B35:D35"/>
    <mergeCell ref="E35:AD35"/>
    <mergeCell ref="B39:D39"/>
    <mergeCell ref="B40:D40"/>
    <mergeCell ref="E40:AC40"/>
    <mergeCell ref="B41:D41"/>
    <mergeCell ref="E41:K41"/>
    <mergeCell ref="L41:AD41"/>
    <mergeCell ref="B36:D36"/>
    <mergeCell ref="E36:AD36"/>
    <mergeCell ref="B37:D37"/>
    <mergeCell ref="B49:D49"/>
    <mergeCell ref="E49:AD49"/>
    <mergeCell ref="B50:AD50"/>
    <mergeCell ref="B53:D53"/>
    <mergeCell ref="E53:AD53"/>
    <mergeCell ref="B54:D54"/>
    <mergeCell ref="E54:F54"/>
    <mergeCell ref="G54:AC54"/>
    <mergeCell ref="B44:AF44"/>
    <mergeCell ref="AE46:AF46"/>
    <mergeCell ref="B47:D47"/>
    <mergeCell ref="E47:AD47"/>
    <mergeCell ref="B48:D48"/>
    <mergeCell ref="E48:AD48"/>
    <mergeCell ref="AG54:AK62"/>
    <mergeCell ref="B55:D55"/>
    <mergeCell ref="E55:AD55"/>
    <mergeCell ref="B56:D56"/>
    <mergeCell ref="E56:AD56"/>
    <mergeCell ref="B57:D57"/>
    <mergeCell ref="E57:AD57"/>
    <mergeCell ref="B58:D58"/>
    <mergeCell ref="E58:AD58"/>
    <mergeCell ref="B59:D59"/>
    <mergeCell ref="B63:AD63"/>
    <mergeCell ref="AE65:AF65"/>
    <mergeCell ref="B66:D66"/>
    <mergeCell ref="E66:AD66"/>
    <mergeCell ref="B67:D68"/>
    <mergeCell ref="E67:AC68"/>
    <mergeCell ref="AF67:AF68"/>
    <mergeCell ref="E59:AD59"/>
    <mergeCell ref="B60:D60"/>
    <mergeCell ref="E60:AD60"/>
    <mergeCell ref="B61:D61"/>
    <mergeCell ref="E61:AD61"/>
    <mergeCell ref="B62:D62"/>
    <mergeCell ref="E62:K62"/>
    <mergeCell ref="L62:AD62"/>
    <mergeCell ref="B74:D74"/>
    <mergeCell ref="E74:G74"/>
    <mergeCell ref="H74:AD74"/>
    <mergeCell ref="AE77:AF77"/>
    <mergeCell ref="B78:D78"/>
    <mergeCell ref="E78:AD78"/>
    <mergeCell ref="AG67:AJ74"/>
    <mergeCell ref="B69:D70"/>
    <mergeCell ref="E69:AC70"/>
    <mergeCell ref="AF69:AF70"/>
    <mergeCell ref="B71:D71"/>
    <mergeCell ref="E71:AD71"/>
    <mergeCell ref="B72:D72"/>
    <mergeCell ref="E72:AD72"/>
    <mergeCell ref="B73:D73"/>
    <mergeCell ref="E73:AD73"/>
    <mergeCell ref="B82:AD82"/>
    <mergeCell ref="B84:AF84"/>
    <mergeCell ref="B86:D86"/>
    <mergeCell ref="B87:D87"/>
    <mergeCell ref="E87:AC87"/>
    <mergeCell ref="B88:D88"/>
    <mergeCell ref="E88:AD88"/>
    <mergeCell ref="B79:D79"/>
    <mergeCell ref="E79:AD79"/>
    <mergeCell ref="B80:D80"/>
    <mergeCell ref="E80:AD80"/>
    <mergeCell ref="B81:D81"/>
    <mergeCell ref="E81:AD81"/>
    <mergeCell ref="B92:D92"/>
    <mergeCell ref="E92:AD92"/>
    <mergeCell ref="B93:AD93"/>
    <mergeCell ref="B95:AF95"/>
    <mergeCell ref="B98:D98"/>
    <mergeCell ref="B99:D99"/>
    <mergeCell ref="E99:AC99"/>
    <mergeCell ref="B89:D89"/>
    <mergeCell ref="E89:AD89"/>
    <mergeCell ref="B90:D90"/>
    <mergeCell ref="E90:AC90"/>
    <mergeCell ref="B91:D91"/>
    <mergeCell ref="E91:AD91"/>
    <mergeCell ref="B103:D103"/>
    <mergeCell ref="E103:AC103"/>
    <mergeCell ref="B104:D104"/>
    <mergeCell ref="S104:AC104"/>
    <mergeCell ref="B105:AD105"/>
    <mergeCell ref="AE107:AF107"/>
    <mergeCell ref="B100:D100"/>
    <mergeCell ref="E100:AC100"/>
    <mergeCell ref="B101:D101"/>
    <mergeCell ref="E101:AC101"/>
    <mergeCell ref="B102:D102"/>
    <mergeCell ref="E102:AC102"/>
    <mergeCell ref="B114:D114"/>
    <mergeCell ref="E114:AD114"/>
    <mergeCell ref="B115:AD115"/>
    <mergeCell ref="B117:AF117"/>
    <mergeCell ref="B119:D119"/>
    <mergeCell ref="E119:AD119"/>
    <mergeCell ref="B108:D108"/>
    <mergeCell ref="B109:D109"/>
    <mergeCell ref="E109:AD109"/>
    <mergeCell ref="B110:AD110"/>
    <mergeCell ref="B113:D113"/>
    <mergeCell ref="E113:AD113"/>
    <mergeCell ref="B123:D123"/>
    <mergeCell ref="E123:AD123"/>
    <mergeCell ref="B124:D124"/>
    <mergeCell ref="E124:AD124"/>
    <mergeCell ref="B125:D125"/>
    <mergeCell ref="E125:AD125"/>
    <mergeCell ref="B120:D120"/>
    <mergeCell ref="E120:AD120"/>
    <mergeCell ref="B121:D121"/>
    <mergeCell ref="E121:AD121"/>
    <mergeCell ref="B122:D122"/>
    <mergeCell ref="E122:AD122"/>
    <mergeCell ref="B129:D129"/>
    <mergeCell ref="E129:G129"/>
    <mergeCell ref="H129:AD129"/>
    <mergeCell ref="B132:AF132"/>
    <mergeCell ref="B134:D134"/>
    <mergeCell ref="E134:AD134"/>
    <mergeCell ref="B126:D126"/>
    <mergeCell ref="E126:AD126"/>
    <mergeCell ref="B127:D127"/>
    <mergeCell ref="E127:AD127"/>
    <mergeCell ref="B128:D128"/>
    <mergeCell ref="E128:AD128"/>
    <mergeCell ref="B135:D135"/>
    <mergeCell ref="E135:AD135"/>
    <mergeCell ref="B136:D136"/>
    <mergeCell ref="E136:AD136"/>
    <mergeCell ref="B137:D157"/>
    <mergeCell ref="E137:AD137"/>
    <mergeCell ref="E138:AD138"/>
    <mergeCell ref="E139:AD139"/>
    <mergeCell ref="E140:AD140"/>
    <mergeCell ref="E142:AD142"/>
    <mergeCell ref="E149:AD149"/>
    <mergeCell ref="E150:AD150"/>
    <mergeCell ref="E151:AD151"/>
    <mergeCell ref="E152:AD152"/>
    <mergeCell ref="E153:AD153"/>
    <mergeCell ref="E154:AD154"/>
    <mergeCell ref="E143:AD143"/>
    <mergeCell ref="E144:AD144"/>
    <mergeCell ref="E145:AD145"/>
    <mergeCell ref="E146:AD146"/>
    <mergeCell ref="E147:AD147"/>
    <mergeCell ref="E148:AD148"/>
    <mergeCell ref="B163:D163"/>
    <mergeCell ref="E163:AD163"/>
    <mergeCell ref="B164:D164"/>
    <mergeCell ref="E164:AD164"/>
    <mergeCell ref="B165:D165"/>
    <mergeCell ref="E165:AD165"/>
    <mergeCell ref="E155:AD155"/>
    <mergeCell ref="E156:AD156"/>
    <mergeCell ref="E157:AD157"/>
    <mergeCell ref="B160:AF160"/>
    <mergeCell ref="B161:AD161"/>
    <mergeCell ref="B162:D162"/>
    <mergeCell ref="E162:AD162"/>
    <mergeCell ref="B176:AD176"/>
    <mergeCell ref="B177:AD177"/>
    <mergeCell ref="B183:AF185"/>
    <mergeCell ref="B166:D166"/>
    <mergeCell ref="E166:AD166"/>
    <mergeCell ref="B167:AD167"/>
    <mergeCell ref="B168:D168"/>
    <mergeCell ref="E168:AD168"/>
    <mergeCell ref="B169:AD169"/>
  </mergeCells>
  <conditionalFormatting sqref="AE36">
    <cfRule type="expression" dxfId="0" priority="1" stopIfTrue="1">
      <formula>AF36&lt;AE28</formula>
    </cfRule>
  </conditionalFormatting>
  <printOptions horizontalCentered="1"/>
  <pageMargins left="0.59027777777777779" right="0.59027777777777779" top="0.59027777777777779" bottom="0.59027777777777779" header="0.51181102362204722" footer="0.51181102362204722"/>
  <pageSetup paperSize="8" scale="62" firstPageNumber="0" orientation="landscape" horizontalDpi="300" verticalDpi="300" r:id="rId1"/>
  <headerFooter alignWithMargins="0"/>
  <rowBreaks count="2" manualBreakCount="2">
    <brk id="63" max="16383" man="1"/>
    <brk id="130" max="16383" man="1"/>
  </rowBreaks>
  <ignoredErrors>
    <ignoredError sqref="J5 AE5 AE7:AF8 AE11:AF14 AD13 AE20 AF120:AF128" unlockedFormula="1"/>
  </ignoredError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K101"/>
  <sheetViews>
    <sheetView showGridLines="0" zoomScale="85" zoomScaleNormal="85" workbookViewId="0">
      <selection activeCell="D33" sqref="D33"/>
    </sheetView>
  </sheetViews>
  <sheetFormatPr defaultColWidth="11.42578125" defaultRowHeight="21" customHeight="1"/>
  <cols>
    <col min="1" max="1" width="2.5703125" customWidth="1"/>
    <col min="2" max="2" width="7" style="153" customWidth="1"/>
    <col min="3" max="3" width="43.7109375" style="146" bestFit="1" customWidth="1"/>
    <col min="4" max="4" width="12.85546875" customWidth="1"/>
    <col min="5" max="5" width="14.5703125" customWidth="1"/>
    <col min="6" max="6" width="18" customWidth="1"/>
    <col min="7" max="7" width="21.85546875" bestFit="1" customWidth="1"/>
    <col min="8" max="8" width="14.42578125" bestFit="1" customWidth="1"/>
    <col min="9" max="9" width="14.28515625" customWidth="1"/>
    <col min="10" max="10" width="17.42578125" customWidth="1"/>
  </cols>
  <sheetData>
    <row r="1" spans="2:11" ht="12" customHeight="1" thickBot="1"/>
    <row r="2" spans="2:11" ht="21" customHeight="1">
      <c r="B2" s="586" t="s">
        <v>386</v>
      </c>
      <c r="C2" s="587"/>
      <c r="D2" s="587"/>
      <c r="E2" s="587"/>
      <c r="F2" s="587"/>
      <c r="G2" s="587"/>
      <c r="H2" s="587"/>
      <c r="I2" s="587"/>
      <c r="J2" s="588"/>
    </row>
    <row r="3" spans="2:11" ht="21" customHeight="1" thickBot="1">
      <c r="B3" s="589"/>
      <c r="C3" s="590"/>
      <c r="D3" s="590"/>
      <c r="E3" s="590"/>
      <c r="F3" s="590"/>
      <c r="G3" s="590"/>
      <c r="H3" s="590"/>
      <c r="I3" s="590"/>
      <c r="J3" s="591"/>
    </row>
    <row r="4" spans="2:11" ht="21" customHeight="1" thickBot="1"/>
    <row r="5" spans="2:11" ht="17.25" customHeight="1">
      <c r="B5" s="562" t="s">
        <v>375</v>
      </c>
      <c r="C5" s="563"/>
      <c r="D5" s="563"/>
      <c r="E5" s="563"/>
      <c r="F5" s="563"/>
      <c r="G5" s="563"/>
      <c r="H5" s="563"/>
      <c r="I5" s="563"/>
      <c r="J5" s="564"/>
    </row>
    <row r="6" spans="2:11" ht="17.25" customHeight="1" thickBot="1">
      <c r="B6" s="565"/>
      <c r="C6" s="566"/>
      <c r="D6" s="566"/>
      <c r="E6" s="566"/>
      <c r="F6" s="566"/>
      <c r="G6" s="566"/>
      <c r="H6" s="566"/>
      <c r="I6" s="566"/>
      <c r="J6" s="567"/>
    </row>
    <row r="7" spans="2:11" ht="21" customHeight="1" thickBot="1"/>
    <row r="8" spans="2:11" ht="20.25" customHeight="1">
      <c r="B8" s="572" t="s">
        <v>7</v>
      </c>
      <c r="C8" s="568" t="s">
        <v>376</v>
      </c>
      <c r="D8" s="568"/>
      <c r="E8" s="568"/>
      <c r="F8" s="568"/>
      <c r="G8" s="568"/>
      <c r="H8" s="568"/>
      <c r="I8" s="568"/>
      <c r="J8" s="569"/>
    </row>
    <row r="9" spans="2:11" ht="20.25" customHeight="1">
      <c r="B9" s="573"/>
      <c r="C9" s="570"/>
      <c r="D9" s="570"/>
      <c r="E9" s="570"/>
      <c r="F9" s="570"/>
      <c r="G9" s="570"/>
      <c r="H9" s="570"/>
      <c r="I9" s="570"/>
      <c r="J9" s="571"/>
    </row>
    <row r="10" spans="2:11" ht="21" customHeight="1">
      <c r="B10" s="574" t="s">
        <v>292</v>
      </c>
      <c r="C10" s="575"/>
      <c r="D10" s="579" t="s">
        <v>329</v>
      </c>
      <c r="E10" s="580" t="s">
        <v>330</v>
      </c>
      <c r="F10" s="580" t="s">
        <v>331</v>
      </c>
      <c r="G10" s="580" t="s">
        <v>336</v>
      </c>
      <c r="H10" s="579" t="s">
        <v>339</v>
      </c>
      <c r="I10" s="580" t="s">
        <v>332</v>
      </c>
      <c r="J10" s="578" t="s">
        <v>333</v>
      </c>
    </row>
    <row r="11" spans="2:11" ht="21" customHeight="1">
      <c r="B11" s="576"/>
      <c r="C11" s="577"/>
      <c r="D11" s="579"/>
      <c r="E11" s="580"/>
      <c r="F11" s="580"/>
      <c r="G11" s="580"/>
      <c r="H11" s="579"/>
      <c r="I11" s="580"/>
      <c r="J11" s="578"/>
    </row>
    <row r="12" spans="2:11" ht="31.5" customHeight="1" thickBot="1">
      <c r="B12" s="592" t="s">
        <v>315</v>
      </c>
      <c r="C12" s="593"/>
      <c r="D12" s="149" t="s">
        <v>161</v>
      </c>
      <c r="E12" s="148">
        <v>1</v>
      </c>
      <c r="F12" s="148">
        <v>128</v>
      </c>
      <c r="G12" s="150">
        <v>30</v>
      </c>
      <c r="H12" s="176">
        <v>2000</v>
      </c>
      <c r="I12" s="151">
        <f>E12*H12</f>
        <v>2000</v>
      </c>
      <c r="J12" s="152">
        <f>I12/G12/F12</f>
        <v>0.52083333333333337</v>
      </c>
      <c r="K12" s="85"/>
    </row>
    <row r="13" spans="2:11" ht="21" customHeight="1" thickBot="1">
      <c r="B13" s="154"/>
      <c r="C13" s="147"/>
      <c r="D13" s="86"/>
      <c r="E13" s="86"/>
      <c r="F13" s="86"/>
      <c r="G13" s="584" t="s">
        <v>334</v>
      </c>
      <c r="H13" s="585"/>
      <c r="I13" s="585"/>
      <c r="J13" s="87">
        <f>SUM(J12:J12)</f>
        <v>0.52083333333333337</v>
      </c>
    </row>
    <row r="14" spans="2:11" ht="23.25" customHeight="1" thickBot="1"/>
    <row r="15" spans="2:11" ht="20.25" customHeight="1">
      <c r="B15" s="572" t="s">
        <v>9</v>
      </c>
      <c r="C15" s="568" t="s">
        <v>377</v>
      </c>
      <c r="D15" s="568"/>
      <c r="E15" s="568"/>
      <c r="F15" s="568"/>
      <c r="G15" s="568"/>
      <c r="H15" s="568"/>
      <c r="I15" s="568"/>
      <c r="J15" s="569"/>
    </row>
    <row r="16" spans="2:11" ht="20.25" customHeight="1">
      <c r="B16" s="573"/>
      <c r="C16" s="570"/>
      <c r="D16" s="570"/>
      <c r="E16" s="570"/>
      <c r="F16" s="570"/>
      <c r="G16" s="570"/>
      <c r="H16" s="570"/>
      <c r="I16" s="570"/>
      <c r="J16" s="571"/>
    </row>
    <row r="17" spans="2:11" ht="21" customHeight="1">
      <c r="B17" s="574" t="s">
        <v>292</v>
      </c>
      <c r="C17" s="575"/>
      <c r="D17" s="579" t="s">
        <v>329</v>
      </c>
      <c r="E17" s="580" t="s">
        <v>330</v>
      </c>
      <c r="F17" s="580" t="s">
        <v>331</v>
      </c>
      <c r="G17" s="580" t="s">
        <v>336</v>
      </c>
      <c r="H17" s="580" t="s">
        <v>398</v>
      </c>
      <c r="I17" s="580" t="s">
        <v>332</v>
      </c>
      <c r="J17" s="578" t="s">
        <v>333</v>
      </c>
    </row>
    <row r="18" spans="2:11" ht="21" customHeight="1">
      <c r="B18" s="576"/>
      <c r="C18" s="577"/>
      <c r="D18" s="579"/>
      <c r="E18" s="580"/>
      <c r="F18" s="580"/>
      <c r="G18" s="580"/>
      <c r="H18" s="579"/>
      <c r="I18" s="580"/>
      <c r="J18" s="578"/>
    </row>
    <row r="19" spans="2:11" ht="199.5" customHeight="1" thickBot="1">
      <c r="B19" s="557" t="s">
        <v>319</v>
      </c>
      <c r="C19" s="558"/>
      <c r="D19" s="91" t="s">
        <v>161</v>
      </c>
      <c r="E19" s="92">
        <v>1</v>
      </c>
      <c r="F19" s="92">
        <v>128</v>
      </c>
      <c r="G19" s="91">
        <v>30</v>
      </c>
      <c r="H19" s="176">
        <v>200000</v>
      </c>
      <c r="I19" s="93">
        <f>E19*H19</f>
        <v>200000</v>
      </c>
      <c r="J19" s="94">
        <f>I19/G19/F19</f>
        <v>52.083333333333336</v>
      </c>
      <c r="K19" s="85"/>
    </row>
    <row r="20" spans="2:11" ht="21" customHeight="1" thickBot="1">
      <c r="B20" s="154"/>
      <c r="C20" s="177"/>
      <c r="D20" s="86"/>
      <c r="E20" s="86"/>
      <c r="F20" s="86"/>
      <c r="G20" s="584" t="s">
        <v>334</v>
      </c>
      <c r="H20" s="585"/>
      <c r="I20" s="585"/>
      <c r="J20" s="87">
        <f>SUM(J19:J19)</f>
        <v>52.083333333333336</v>
      </c>
    </row>
    <row r="21" spans="2:11" ht="21" customHeight="1" thickBot="1"/>
    <row r="22" spans="2:11" ht="21" customHeight="1">
      <c r="B22" s="572" t="s">
        <v>11</v>
      </c>
      <c r="C22" s="568" t="s">
        <v>379</v>
      </c>
      <c r="D22" s="568"/>
      <c r="E22" s="568"/>
      <c r="F22" s="568"/>
      <c r="G22" s="568"/>
      <c r="H22" s="568"/>
      <c r="I22" s="568"/>
      <c r="J22" s="569"/>
    </row>
    <row r="23" spans="2:11" ht="21" customHeight="1">
      <c r="B23" s="573"/>
      <c r="C23" s="570"/>
      <c r="D23" s="570"/>
      <c r="E23" s="570"/>
      <c r="F23" s="570"/>
      <c r="G23" s="570"/>
      <c r="H23" s="570"/>
      <c r="I23" s="570"/>
      <c r="J23" s="571"/>
    </row>
    <row r="24" spans="2:11" ht="21" customHeight="1">
      <c r="B24" s="574" t="s">
        <v>292</v>
      </c>
      <c r="C24" s="575"/>
      <c r="D24" s="579" t="s">
        <v>329</v>
      </c>
      <c r="E24" s="580" t="s">
        <v>330</v>
      </c>
      <c r="F24" s="580" t="s">
        <v>331</v>
      </c>
      <c r="G24" s="580" t="s">
        <v>336</v>
      </c>
      <c r="H24" s="579" t="s">
        <v>339</v>
      </c>
      <c r="I24" s="580" t="s">
        <v>332</v>
      </c>
      <c r="J24" s="578" t="s">
        <v>333</v>
      </c>
    </row>
    <row r="25" spans="2:11" ht="21" customHeight="1">
      <c r="B25" s="576"/>
      <c r="C25" s="577"/>
      <c r="D25" s="579"/>
      <c r="E25" s="580"/>
      <c r="F25" s="580"/>
      <c r="G25" s="580"/>
      <c r="H25" s="579"/>
      <c r="I25" s="580"/>
      <c r="J25" s="578"/>
    </row>
    <row r="26" spans="2:11" ht="191.25" customHeight="1" thickBot="1">
      <c r="B26" s="557" t="s">
        <v>320</v>
      </c>
      <c r="C26" s="558"/>
      <c r="D26" s="91" t="s">
        <v>161</v>
      </c>
      <c r="E26" s="92">
        <v>2</v>
      </c>
      <c r="F26" s="92">
        <v>128</v>
      </c>
      <c r="G26" s="91">
        <v>30</v>
      </c>
      <c r="H26" s="176">
        <v>40000</v>
      </c>
      <c r="I26" s="93">
        <f>E26*H26</f>
        <v>80000</v>
      </c>
      <c r="J26" s="94">
        <f>I26/G26/F26</f>
        <v>20.833333333333332</v>
      </c>
    </row>
    <row r="27" spans="2:11" ht="21" customHeight="1" thickBot="1">
      <c r="B27" s="154"/>
      <c r="C27" s="147"/>
      <c r="D27" s="86"/>
      <c r="E27" s="86"/>
      <c r="F27" s="86"/>
      <c r="G27" s="584" t="s">
        <v>334</v>
      </c>
      <c r="H27" s="585"/>
      <c r="I27" s="585"/>
      <c r="J27" s="87">
        <f>SUM(J26:J26)</f>
        <v>20.833333333333332</v>
      </c>
    </row>
    <row r="28" spans="2:11" ht="21" customHeight="1" thickBot="1"/>
    <row r="29" spans="2:11" ht="21" customHeight="1">
      <c r="B29" s="572" t="s">
        <v>13</v>
      </c>
      <c r="C29" s="568" t="s">
        <v>378</v>
      </c>
      <c r="D29" s="568"/>
      <c r="E29" s="568"/>
      <c r="F29" s="568"/>
      <c r="G29" s="568"/>
      <c r="H29" s="568"/>
      <c r="I29" s="568"/>
      <c r="J29" s="569"/>
    </row>
    <row r="30" spans="2:11" ht="21" customHeight="1">
      <c r="B30" s="573"/>
      <c r="C30" s="570"/>
      <c r="D30" s="570"/>
      <c r="E30" s="570"/>
      <c r="F30" s="570"/>
      <c r="G30" s="570"/>
      <c r="H30" s="570"/>
      <c r="I30" s="570"/>
      <c r="J30" s="571"/>
    </row>
    <row r="31" spans="2:11" ht="21" customHeight="1">
      <c r="B31" s="574" t="s">
        <v>292</v>
      </c>
      <c r="C31" s="575"/>
      <c r="D31" s="579" t="s">
        <v>329</v>
      </c>
      <c r="E31" s="580" t="s">
        <v>330</v>
      </c>
      <c r="F31" s="580" t="s">
        <v>331</v>
      </c>
      <c r="G31" s="580" t="s">
        <v>336</v>
      </c>
      <c r="H31" s="579" t="s">
        <v>339</v>
      </c>
      <c r="I31" s="580" t="s">
        <v>332</v>
      </c>
      <c r="J31" s="578" t="s">
        <v>333</v>
      </c>
    </row>
    <row r="32" spans="2:11" ht="21" customHeight="1">
      <c r="B32" s="576"/>
      <c r="C32" s="577"/>
      <c r="D32" s="579"/>
      <c r="E32" s="580"/>
      <c r="F32" s="580"/>
      <c r="G32" s="580"/>
      <c r="H32" s="579"/>
      <c r="I32" s="580"/>
      <c r="J32" s="578"/>
    </row>
    <row r="33" spans="2:10" ht="326.25" customHeight="1" thickBot="1">
      <c r="B33" s="559" t="s">
        <v>318</v>
      </c>
      <c r="C33" s="560"/>
      <c r="D33" s="91" t="s">
        <v>161</v>
      </c>
      <c r="E33" s="92">
        <v>5</v>
      </c>
      <c r="F33" s="92">
        <v>128</v>
      </c>
      <c r="G33" s="91">
        <v>30</v>
      </c>
      <c r="H33" s="176">
        <v>45000</v>
      </c>
      <c r="I33" s="93">
        <f>E33*H33</f>
        <v>225000</v>
      </c>
      <c r="J33" s="94">
        <f>I33/G33/F33</f>
        <v>58.59375</v>
      </c>
    </row>
    <row r="34" spans="2:10" ht="21" customHeight="1" thickBot="1">
      <c r="B34" s="154"/>
      <c r="C34" s="155"/>
      <c r="D34" s="86"/>
      <c r="E34" s="86"/>
      <c r="F34" s="86"/>
      <c r="G34" s="584" t="s">
        <v>334</v>
      </c>
      <c r="H34" s="585"/>
      <c r="I34" s="585"/>
      <c r="J34" s="87">
        <f>SUM(J33:J33)</f>
        <v>58.59375</v>
      </c>
    </row>
    <row r="35" spans="2:10" ht="21" customHeight="1" thickBot="1"/>
    <row r="36" spans="2:10" ht="21" customHeight="1">
      <c r="B36" s="572" t="s">
        <v>37</v>
      </c>
      <c r="C36" s="568" t="s">
        <v>380</v>
      </c>
      <c r="D36" s="568"/>
      <c r="E36" s="568"/>
      <c r="F36" s="568"/>
      <c r="G36" s="568"/>
      <c r="H36" s="568"/>
      <c r="I36" s="568"/>
      <c r="J36" s="569"/>
    </row>
    <row r="37" spans="2:10" ht="21" customHeight="1">
      <c r="B37" s="573"/>
      <c r="C37" s="570"/>
      <c r="D37" s="570"/>
      <c r="E37" s="570"/>
      <c r="F37" s="570"/>
      <c r="G37" s="570"/>
      <c r="H37" s="570"/>
      <c r="I37" s="570"/>
      <c r="J37" s="571"/>
    </row>
    <row r="38" spans="2:10" ht="21" customHeight="1">
      <c r="B38" s="574" t="s">
        <v>292</v>
      </c>
      <c r="C38" s="575"/>
      <c r="D38" s="579" t="s">
        <v>329</v>
      </c>
      <c r="E38" s="580" t="s">
        <v>394</v>
      </c>
      <c r="F38" s="580" t="s">
        <v>331</v>
      </c>
      <c r="G38" s="580" t="s">
        <v>336</v>
      </c>
      <c r="H38" s="579" t="s">
        <v>339</v>
      </c>
      <c r="I38" s="580" t="s">
        <v>332</v>
      </c>
      <c r="J38" s="578" t="s">
        <v>333</v>
      </c>
    </row>
    <row r="39" spans="2:10" ht="21" customHeight="1">
      <c r="B39" s="576"/>
      <c r="C39" s="577"/>
      <c r="D39" s="579"/>
      <c r="E39" s="580"/>
      <c r="F39" s="580"/>
      <c r="G39" s="580"/>
      <c r="H39" s="579"/>
      <c r="I39" s="580"/>
      <c r="J39" s="578"/>
    </row>
    <row r="40" spans="2:10" ht="153.75" customHeight="1" thickBot="1">
      <c r="B40" s="559" t="s">
        <v>393</v>
      </c>
      <c r="C40" s="561"/>
      <c r="D40" s="160" t="s">
        <v>161</v>
      </c>
      <c r="E40" s="161">
        <v>3</v>
      </c>
      <c r="F40" s="161">
        <v>128</v>
      </c>
      <c r="G40" s="160">
        <v>30</v>
      </c>
      <c r="H40" s="176">
        <v>1000</v>
      </c>
      <c r="I40" s="162">
        <f>E40*H40</f>
        <v>3000</v>
      </c>
      <c r="J40" s="163">
        <f>I40/G40/F40</f>
        <v>0.78125</v>
      </c>
    </row>
    <row r="41" spans="2:10" ht="21" customHeight="1" thickBot="1">
      <c r="B41" s="154"/>
      <c r="C41" s="147"/>
      <c r="D41" s="86"/>
      <c r="E41" s="86"/>
      <c r="F41" s="86"/>
      <c r="G41" s="584" t="s">
        <v>334</v>
      </c>
      <c r="H41" s="585"/>
      <c r="I41" s="585"/>
      <c r="J41" s="87">
        <f>SUM(J40:J40)</f>
        <v>0.78125</v>
      </c>
    </row>
    <row r="42" spans="2:10" ht="21" customHeight="1" thickBot="1"/>
    <row r="43" spans="2:10" ht="21" customHeight="1">
      <c r="B43" s="572" t="s">
        <v>39</v>
      </c>
      <c r="C43" s="568" t="s">
        <v>381</v>
      </c>
      <c r="D43" s="568"/>
      <c r="E43" s="568"/>
      <c r="F43" s="568"/>
      <c r="G43" s="568"/>
      <c r="H43" s="568"/>
      <c r="I43" s="568"/>
      <c r="J43" s="569"/>
    </row>
    <row r="44" spans="2:10" ht="21" customHeight="1">
      <c r="B44" s="573"/>
      <c r="C44" s="570"/>
      <c r="D44" s="570"/>
      <c r="E44" s="570"/>
      <c r="F44" s="570"/>
      <c r="G44" s="570"/>
      <c r="H44" s="570"/>
      <c r="I44" s="570"/>
      <c r="J44" s="571"/>
    </row>
    <row r="45" spans="2:10" ht="21" customHeight="1">
      <c r="B45" s="574" t="s">
        <v>292</v>
      </c>
      <c r="C45" s="575"/>
      <c r="D45" s="579" t="s">
        <v>329</v>
      </c>
      <c r="E45" s="580" t="s">
        <v>330</v>
      </c>
      <c r="F45" s="580" t="s">
        <v>331</v>
      </c>
      <c r="G45" s="580" t="s">
        <v>336</v>
      </c>
      <c r="H45" s="579" t="s">
        <v>339</v>
      </c>
      <c r="I45" s="580" t="s">
        <v>332</v>
      </c>
      <c r="J45" s="578" t="s">
        <v>333</v>
      </c>
    </row>
    <row r="46" spans="2:10" ht="21" customHeight="1">
      <c r="B46" s="576"/>
      <c r="C46" s="577"/>
      <c r="D46" s="579"/>
      <c r="E46" s="580"/>
      <c r="F46" s="580"/>
      <c r="G46" s="580"/>
      <c r="H46" s="579"/>
      <c r="I46" s="580"/>
      <c r="J46" s="578"/>
    </row>
    <row r="47" spans="2:10" ht="86.25" customHeight="1" thickBot="1">
      <c r="B47" s="559" t="s">
        <v>317</v>
      </c>
      <c r="C47" s="560"/>
      <c r="D47" s="91" t="s">
        <v>161</v>
      </c>
      <c r="E47" s="92">
        <v>12</v>
      </c>
      <c r="F47" s="92">
        <v>128</v>
      </c>
      <c r="G47" s="91">
        <v>30</v>
      </c>
      <c r="H47" s="176">
        <v>500</v>
      </c>
      <c r="I47" s="93">
        <f>E47*H47</f>
        <v>6000</v>
      </c>
      <c r="J47" s="94">
        <f>I47/G47/F47</f>
        <v>1.5625</v>
      </c>
    </row>
    <row r="48" spans="2:10" ht="21" customHeight="1" thickBot="1">
      <c r="B48" s="154"/>
      <c r="C48" s="147"/>
      <c r="D48" s="86"/>
      <c r="E48" s="86"/>
      <c r="F48" s="86"/>
      <c r="G48" s="584" t="s">
        <v>334</v>
      </c>
      <c r="H48" s="585"/>
      <c r="I48" s="585"/>
      <c r="J48" s="87">
        <f>SUM(J47:J47)</f>
        <v>1.5625</v>
      </c>
    </row>
    <row r="49" spans="2:10" ht="21" customHeight="1" thickBot="1"/>
    <row r="50" spans="2:10" ht="21" customHeight="1">
      <c r="B50" s="572" t="s">
        <v>41</v>
      </c>
      <c r="C50" s="568" t="s">
        <v>382</v>
      </c>
      <c r="D50" s="568"/>
      <c r="E50" s="568"/>
      <c r="F50" s="568"/>
      <c r="G50" s="568"/>
      <c r="H50" s="568"/>
      <c r="I50" s="568"/>
      <c r="J50" s="569"/>
    </row>
    <row r="51" spans="2:10" ht="21" customHeight="1">
      <c r="B51" s="573"/>
      <c r="C51" s="570"/>
      <c r="D51" s="570"/>
      <c r="E51" s="570"/>
      <c r="F51" s="570"/>
      <c r="G51" s="570"/>
      <c r="H51" s="570"/>
      <c r="I51" s="570"/>
      <c r="J51" s="571"/>
    </row>
    <row r="52" spans="2:10" ht="21" customHeight="1">
      <c r="B52" s="574" t="s">
        <v>292</v>
      </c>
      <c r="C52" s="575"/>
      <c r="D52" s="579" t="s">
        <v>329</v>
      </c>
      <c r="E52" s="580" t="s">
        <v>330</v>
      </c>
      <c r="F52" s="580" t="s">
        <v>331</v>
      </c>
      <c r="G52" s="580" t="s">
        <v>336</v>
      </c>
      <c r="H52" s="579" t="s">
        <v>339</v>
      </c>
      <c r="I52" s="580" t="s">
        <v>332</v>
      </c>
      <c r="J52" s="578" t="s">
        <v>333</v>
      </c>
    </row>
    <row r="53" spans="2:10" ht="21" customHeight="1">
      <c r="B53" s="576"/>
      <c r="C53" s="577"/>
      <c r="D53" s="579"/>
      <c r="E53" s="580"/>
      <c r="F53" s="580"/>
      <c r="G53" s="580"/>
      <c r="H53" s="579"/>
      <c r="I53" s="580"/>
      <c r="J53" s="578"/>
    </row>
    <row r="54" spans="2:10" ht="243" customHeight="1" thickBot="1">
      <c r="B54" s="559" t="s">
        <v>316</v>
      </c>
      <c r="C54" s="560"/>
      <c r="D54" s="91" t="s">
        <v>161</v>
      </c>
      <c r="E54" s="92">
        <v>20</v>
      </c>
      <c r="F54" s="92">
        <v>128</v>
      </c>
      <c r="G54" s="91">
        <v>30</v>
      </c>
      <c r="H54" s="176">
        <v>500</v>
      </c>
      <c r="I54" s="93">
        <f>E54*H54</f>
        <v>10000</v>
      </c>
      <c r="J54" s="94">
        <f>I54/G54/F54</f>
        <v>2.6041666666666665</v>
      </c>
    </row>
    <row r="55" spans="2:10" ht="21" customHeight="1" thickBot="1">
      <c r="B55" s="154"/>
      <c r="C55" s="147"/>
      <c r="D55" s="86"/>
      <c r="E55" s="86"/>
      <c r="F55" s="86"/>
      <c r="G55" s="584" t="s">
        <v>334</v>
      </c>
      <c r="H55" s="585"/>
      <c r="I55" s="585"/>
      <c r="J55" s="87">
        <f>SUM(J54:J54)</f>
        <v>2.6041666666666665</v>
      </c>
    </row>
    <row r="56" spans="2:10" ht="21" customHeight="1" thickBot="1"/>
    <row r="57" spans="2:10" ht="21" customHeight="1">
      <c r="B57" s="572" t="s">
        <v>43</v>
      </c>
      <c r="C57" s="568" t="s">
        <v>383</v>
      </c>
      <c r="D57" s="568"/>
      <c r="E57" s="568"/>
      <c r="F57" s="568"/>
      <c r="G57" s="568"/>
      <c r="H57" s="568"/>
      <c r="I57" s="568"/>
      <c r="J57" s="569"/>
    </row>
    <row r="58" spans="2:10" ht="21" customHeight="1">
      <c r="B58" s="573"/>
      <c r="C58" s="570"/>
      <c r="D58" s="570"/>
      <c r="E58" s="570"/>
      <c r="F58" s="570"/>
      <c r="G58" s="570"/>
      <c r="H58" s="570"/>
      <c r="I58" s="570"/>
      <c r="J58" s="571"/>
    </row>
    <row r="59" spans="2:10" ht="21" customHeight="1">
      <c r="B59" s="574" t="s">
        <v>292</v>
      </c>
      <c r="C59" s="575"/>
      <c r="D59" s="579" t="s">
        <v>329</v>
      </c>
      <c r="E59" s="580" t="s">
        <v>328</v>
      </c>
      <c r="F59" s="580" t="s">
        <v>331</v>
      </c>
      <c r="G59" s="580" t="s">
        <v>336</v>
      </c>
      <c r="H59" s="579" t="s">
        <v>339</v>
      </c>
      <c r="I59" s="580" t="s">
        <v>332</v>
      </c>
      <c r="J59" s="578" t="s">
        <v>333</v>
      </c>
    </row>
    <row r="60" spans="2:10" ht="21" customHeight="1">
      <c r="B60" s="576"/>
      <c r="C60" s="577"/>
      <c r="D60" s="579"/>
      <c r="E60" s="580"/>
      <c r="F60" s="580"/>
      <c r="G60" s="580"/>
      <c r="H60" s="579"/>
      <c r="I60" s="580"/>
      <c r="J60" s="578"/>
    </row>
    <row r="61" spans="2:10" ht="21" customHeight="1">
      <c r="B61" s="166">
        <v>1</v>
      </c>
      <c r="C61" s="167" t="s">
        <v>304</v>
      </c>
      <c r="D61" s="88" t="s">
        <v>161</v>
      </c>
      <c r="E61" s="89">
        <v>32</v>
      </c>
      <c r="F61" s="89">
        <v>128</v>
      </c>
      <c r="G61" s="88">
        <v>30</v>
      </c>
      <c r="H61" s="174">
        <v>6000</v>
      </c>
      <c r="I61" s="90">
        <f t="shared" ref="I61:I72" si="0">E61*H61</f>
        <v>192000</v>
      </c>
      <c r="J61" s="97">
        <f t="shared" ref="J61:J72" si="1">I61/G61/F61</f>
        <v>50</v>
      </c>
    </row>
    <row r="62" spans="2:10" ht="21" customHeight="1">
      <c r="B62" s="166">
        <v>2</v>
      </c>
      <c r="C62" s="167" t="s">
        <v>305</v>
      </c>
      <c r="D62" s="88" t="s">
        <v>161</v>
      </c>
      <c r="E62" s="96">
        <f>E61*6</f>
        <v>192</v>
      </c>
      <c r="F62" s="89">
        <v>128</v>
      </c>
      <c r="G62" s="88">
        <v>30</v>
      </c>
      <c r="H62" s="174">
        <v>3</v>
      </c>
      <c r="I62" s="90">
        <f>E62*H62</f>
        <v>576</v>
      </c>
      <c r="J62" s="97">
        <f t="shared" si="1"/>
        <v>0.15</v>
      </c>
    </row>
    <row r="63" spans="2:10" ht="21" customHeight="1">
      <c r="B63" s="168">
        <v>3</v>
      </c>
      <c r="C63" s="169" t="s">
        <v>306</v>
      </c>
      <c r="D63" s="88" t="s">
        <v>161</v>
      </c>
      <c r="E63" s="89">
        <v>128</v>
      </c>
      <c r="F63" s="89">
        <v>128</v>
      </c>
      <c r="G63" s="88">
        <v>30</v>
      </c>
      <c r="H63" s="174">
        <v>100</v>
      </c>
      <c r="I63" s="90">
        <f t="shared" si="0"/>
        <v>12800</v>
      </c>
      <c r="J63" s="97">
        <f t="shared" si="1"/>
        <v>3.3333333333333335</v>
      </c>
    </row>
    <row r="64" spans="2:10" ht="21" customHeight="1">
      <c r="B64" s="166">
        <v>4</v>
      </c>
      <c r="C64" s="167" t="s">
        <v>296</v>
      </c>
      <c r="D64" s="88" t="s">
        <v>161</v>
      </c>
      <c r="E64" s="89">
        <v>128</v>
      </c>
      <c r="F64" s="89">
        <v>128</v>
      </c>
      <c r="G64" s="88">
        <v>30</v>
      </c>
      <c r="H64" s="174">
        <v>1000</v>
      </c>
      <c r="I64" s="90">
        <f t="shared" si="0"/>
        <v>128000</v>
      </c>
      <c r="J64" s="97">
        <f t="shared" si="1"/>
        <v>33.333333333333336</v>
      </c>
    </row>
    <row r="65" spans="2:10" ht="21" customHeight="1">
      <c r="B65" s="166">
        <v>5</v>
      </c>
      <c r="C65" s="169" t="s">
        <v>301</v>
      </c>
      <c r="D65" s="88" t="s">
        <v>161</v>
      </c>
      <c r="E65" s="89">
        <v>128</v>
      </c>
      <c r="F65" s="89">
        <v>128</v>
      </c>
      <c r="G65" s="88">
        <v>30</v>
      </c>
      <c r="H65" s="174">
        <v>100</v>
      </c>
      <c r="I65" s="90">
        <f t="shared" si="0"/>
        <v>12800</v>
      </c>
      <c r="J65" s="97">
        <f t="shared" si="1"/>
        <v>3.3333333333333335</v>
      </c>
    </row>
    <row r="66" spans="2:10" ht="21" customHeight="1">
      <c r="B66" s="168">
        <v>6</v>
      </c>
      <c r="C66" s="169" t="s">
        <v>302</v>
      </c>
      <c r="D66" s="88" t="s">
        <v>161</v>
      </c>
      <c r="E66" s="89">
        <v>128</v>
      </c>
      <c r="F66" s="89">
        <v>128</v>
      </c>
      <c r="G66" s="88">
        <v>30</v>
      </c>
      <c r="H66" s="174">
        <v>50</v>
      </c>
      <c r="I66" s="90">
        <f t="shared" si="0"/>
        <v>6400</v>
      </c>
      <c r="J66" s="97">
        <f t="shared" si="1"/>
        <v>1.6666666666666667</v>
      </c>
    </row>
    <row r="67" spans="2:10" ht="21" customHeight="1">
      <c r="B67" s="168">
        <v>7</v>
      </c>
      <c r="C67" s="169" t="s">
        <v>342</v>
      </c>
      <c r="D67" s="88" t="s">
        <v>161</v>
      </c>
      <c r="E67" s="89">
        <v>128</v>
      </c>
      <c r="F67" s="89">
        <v>128</v>
      </c>
      <c r="G67" s="88">
        <v>30</v>
      </c>
      <c r="H67" s="174">
        <v>20</v>
      </c>
      <c r="I67" s="90">
        <f t="shared" si="0"/>
        <v>2560</v>
      </c>
      <c r="J67" s="97">
        <f t="shared" si="1"/>
        <v>0.66666666666666663</v>
      </c>
    </row>
    <row r="68" spans="2:10" ht="21" customHeight="1">
      <c r="B68" s="166">
        <v>8</v>
      </c>
      <c r="C68" s="167" t="s">
        <v>307</v>
      </c>
      <c r="D68" s="88" t="s">
        <v>161</v>
      </c>
      <c r="E68" s="89">
        <v>128</v>
      </c>
      <c r="F68" s="89">
        <v>128</v>
      </c>
      <c r="G68" s="88">
        <v>30</v>
      </c>
      <c r="H68" s="174">
        <v>20</v>
      </c>
      <c r="I68" s="90">
        <f t="shared" si="0"/>
        <v>2560</v>
      </c>
      <c r="J68" s="97">
        <f t="shared" si="1"/>
        <v>0.66666666666666663</v>
      </c>
    </row>
    <row r="69" spans="2:10" ht="21" customHeight="1">
      <c r="B69" s="166">
        <v>9</v>
      </c>
      <c r="C69" s="167" t="s">
        <v>297</v>
      </c>
      <c r="D69" s="88" t="s">
        <v>161</v>
      </c>
      <c r="E69" s="89">
        <v>128</v>
      </c>
      <c r="F69" s="89">
        <v>128</v>
      </c>
      <c r="G69" s="88">
        <v>30</v>
      </c>
      <c r="H69" s="174">
        <v>50</v>
      </c>
      <c r="I69" s="90">
        <f t="shared" si="0"/>
        <v>6400</v>
      </c>
      <c r="J69" s="97">
        <f t="shared" si="1"/>
        <v>1.6666666666666667</v>
      </c>
    </row>
    <row r="70" spans="2:10" ht="21" customHeight="1">
      <c r="B70" s="166">
        <v>10</v>
      </c>
      <c r="C70" s="167" t="s">
        <v>308</v>
      </c>
      <c r="D70" s="88" t="s">
        <v>161</v>
      </c>
      <c r="E70" s="89">
        <v>128</v>
      </c>
      <c r="F70" s="89">
        <v>128</v>
      </c>
      <c r="G70" s="88">
        <v>30</v>
      </c>
      <c r="H70" s="174">
        <v>20</v>
      </c>
      <c r="I70" s="90">
        <f t="shared" si="0"/>
        <v>2560</v>
      </c>
      <c r="J70" s="97">
        <f t="shared" si="1"/>
        <v>0.66666666666666663</v>
      </c>
    </row>
    <row r="71" spans="2:10" ht="21" customHeight="1">
      <c r="B71" s="166">
        <v>11</v>
      </c>
      <c r="C71" s="170" t="s">
        <v>309</v>
      </c>
      <c r="D71" s="88" t="s">
        <v>161</v>
      </c>
      <c r="E71" s="89">
        <v>128</v>
      </c>
      <c r="F71" s="89">
        <v>128</v>
      </c>
      <c r="G71" s="88">
        <v>30</v>
      </c>
      <c r="H71" s="174">
        <v>3</v>
      </c>
      <c r="I71" s="90">
        <f t="shared" si="0"/>
        <v>384</v>
      </c>
      <c r="J71" s="97">
        <f t="shared" si="1"/>
        <v>0.1</v>
      </c>
    </row>
    <row r="72" spans="2:10" ht="21" customHeight="1" thickBot="1">
      <c r="B72" s="171">
        <v>12</v>
      </c>
      <c r="C72" s="172" t="s">
        <v>400</v>
      </c>
      <c r="D72" s="91" t="s">
        <v>161</v>
      </c>
      <c r="E72" s="92">
        <v>128</v>
      </c>
      <c r="F72" s="92">
        <v>128</v>
      </c>
      <c r="G72" s="91">
        <v>30</v>
      </c>
      <c r="H72" s="175">
        <v>3</v>
      </c>
      <c r="I72" s="93">
        <f t="shared" si="0"/>
        <v>384</v>
      </c>
      <c r="J72" s="94">
        <f t="shared" si="1"/>
        <v>0.1</v>
      </c>
    </row>
    <row r="73" spans="2:10" ht="21" customHeight="1" thickBot="1">
      <c r="B73" s="154"/>
      <c r="C73" s="147"/>
      <c r="D73" s="86"/>
      <c r="E73" s="86"/>
      <c r="F73" s="86"/>
      <c r="G73" s="584" t="s">
        <v>334</v>
      </c>
      <c r="H73" s="585"/>
      <c r="I73" s="585"/>
      <c r="J73" s="87">
        <f>SUM(J61:J72)</f>
        <v>95.683333333333337</v>
      </c>
    </row>
    <row r="74" spans="2:10" ht="21" customHeight="1" thickBot="1"/>
    <row r="75" spans="2:10" ht="21" customHeight="1">
      <c r="B75" s="572" t="s">
        <v>324</v>
      </c>
      <c r="C75" s="568" t="s">
        <v>384</v>
      </c>
      <c r="D75" s="568"/>
      <c r="E75" s="568"/>
      <c r="F75" s="568"/>
      <c r="G75" s="568"/>
      <c r="H75" s="568"/>
      <c r="I75" s="568"/>
      <c r="J75" s="569"/>
    </row>
    <row r="76" spans="2:10" ht="21" customHeight="1">
      <c r="B76" s="573"/>
      <c r="C76" s="570"/>
      <c r="D76" s="570"/>
      <c r="E76" s="570"/>
      <c r="F76" s="570"/>
      <c r="G76" s="570"/>
      <c r="H76" s="570"/>
      <c r="I76" s="570"/>
      <c r="J76" s="571"/>
    </row>
    <row r="77" spans="2:10" ht="21" customHeight="1">
      <c r="B77" s="574" t="s">
        <v>292</v>
      </c>
      <c r="C77" s="575"/>
      <c r="D77" s="579" t="s">
        <v>329</v>
      </c>
      <c r="E77" s="580" t="s">
        <v>341</v>
      </c>
      <c r="F77" s="580" t="s">
        <v>338</v>
      </c>
      <c r="G77" s="580" t="s">
        <v>340</v>
      </c>
      <c r="H77" s="579" t="s">
        <v>339</v>
      </c>
      <c r="I77" s="580" t="s">
        <v>332</v>
      </c>
      <c r="J77" s="578" t="s">
        <v>333</v>
      </c>
    </row>
    <row r="78" spans="2:10" ht="21" customHeight="1">
      <c r="B78" s="576"/>
      <c r="C78" s="577"/>
      <c r="D78" s="579"/>
      <c r="E78" s="580"/>
      <c r="F78" s="580"/>
      <c r="G78" s="580"/>
      <c r="H78" s="579"/>
      <c r="I78" s="580"/>
      <c r="J78" s="578"/>
    </row>
    <row r="79" spans="2:10" ht="21" customHeight="1">
      <c r="B79" s="166">
        <v>1</v>
      </c>
      <c r="C79" s="169" t="s">
        <v>298</v>
      </c>
      <c r="D79" s="89" t="s">
        <v>161</v>
      </c>
      <c r="E79" s="89">
        <v>1</v>
      </c>
      <c r="F79" s="89">
        <v>1</v>
      </c>
      <c r="G79" s="99">
        <f>E79+(F79*2)</f>
        <v>3</v>
      </c>
      <c r="H79" s="174">
        <v>50</v>
      </c>
      <c r="I79" s="90">
        <f>G79*H79</f>
        <v>150</v>
      </c>
      <c r="J79" s="97">
        <f>I79/30</f>
        <v>5</v>
      </c>
    </row>
    <row r="80" spans="2:10" ht="21" customHeight="1">
      <c r="B80" s="166">
        <v>2</v>
      </c>
      <c r="C80" s="167" t="s">
        <v>310</v>
      </c>
      <c r="D80" s="88" t="s">
        <v>161</v>
      </c>
      <c r="E80" s="89">
        <v>2</v>
      </c>
      <c r="F80" s="89">
        <v>2</v>
      </c>
      <c r="G80" s="99">
        <f>E80+(F80*2)</f>
        <v>6</v>
      </c>
      <c r="H80" s="174">
        <v>50</v>
      </c>
      <c r="I80" s="90">
        <f t="shared" ref="I80:I86" si="2">G80*H80</f>
        <v>300</v>
      </c>
      <c r="J80" s="97">
        <f>I80/30</f>
        <v>10</v>
      </c>
    </row>
    <row r="81" spans="2:10" ht="21" customHeight="1">
      <c r="B81" s="168">
        <v>3</v>
      </c>
      <c r="C81" s="167" t="s">
        <v>311</v>
      </c>
      <c r="D81" s="88" t="s">
        <v>161</v>
      </c>
      <c r="E81" s="89">
        <v>2</v>
      </c>
      <c r="F81" s="89">
        <v>2</v>
      </c>
      <c r="G81" s="99">
        <f>E81+(F81*2)</f>
        <v>6</v>
      </c>
      <c r="H81" s="174">
        <v>50</v>
      </c>
      <c r="I81" s="90">
        <f t="shared" si="2"/>
        <v>300</v>
      </c>
      <c r="J81" s="97">
        <f t="shared" ref="J81:J86" si="3">I81/30</f>
        <v>10</v>
      </c>
    </row>
    <row r="82" spans="2:10" ht="21" customHeight="1">
      <c r="B82" s="166">
        <v>4</v>
      </c>
      <c r="C82" s="169" t="s">
        <v>303</v>
      </c>
      <c r="D82" s="88" t="s">
        <v>293</v>
      </c>
      <c r="E82" s="89">
        <v>1</v>
      </c>
      <c r="F82" s="89">
        <v>0</v>
      </c>
      <c r="G82" s="99">
        <f t="shared" ref="G82:G86" si="4">E82+(F82*2)</f>
        <v>1</v>
      </c>
      <c r="H82" s="174">
        <v>200</v>
      </c>
      <c r="I82" s="90">
        <f t="shared" si="2"/>
        <v>200</v>
      </c>
      <c r="J82" s="97">
        <f t="shared" si="3"/>
        <v>6.666666666666667</v>
      </c>
    </row>
    <row r="83" spans="2:10" ht="21" customHeight="1">
      <c r="B83" s="166">
        <v>5</v>
      </c>
      <c r="C83" s="169" t="s">
        <v>312</v>
      </c>
      <c r="D83" s="88" t="s">
        <v>293</v>
      </c>
      <c r="E83" s="89">
        <v>2</v>
      </c>
      <c r="F83" s="89">
        <v>2</v>
      </c>
      <c r="G83" s="99">
        <f t="shared" si="4"/>
        <v>6</v>
      </c>
      <c r="H83" s="174">
        <v>100</v>
      </c>
      <c r="I83" s="90">
        <f t="shared" si="2"/>
        <v>600</v>
      </c>
      <c r="J83" s="97">
        <f t="shared" si="3"/>
        <v>20</v>
      </c>
    </row>
    <row r="84" spans="2:10" ht="21" customHeight="1">
      <c r="B84" s="168">
        <v>6</v>
      </c>
      <c r="C84" s="169" t="s">
        <v>313</v>
      </c>
      <c r="D84" s="89" t="s">
        <v>161</v>
      </c>
      <c r="E84" s="89">
        <v>1</v>
      </c>
      <c r="F84" s="89">
        <v>1</v>
      </c>
      <c r="G84" s="99">
        <f t="shared" si="4"/>
        <v>3</v>
      </c>
      <c r="H84" s="174">
        <v>50</v>
      </c>
      <c r="I84" s="90">
        <f t="shared" si="2"/>
        <v>150</v>
      </c>
      <c r="J84" s="97">
        <f t="shared" si="3"/>
        <v>5</v>
      </c>
    </row>
    <row r="85" spans="2:10" ht="21" customHeight="1">
      <c r="B85" s="168">
        <v>7</v>
      </c>
      <c r="C85" s="167" t="s">
        <v>294</v>
      </c>
      <c r="D85" s="88" t="s">
        <v>295</v>
      </c>
      <c r="E85" s="89">
        <v>3</v>
      </c>
      <c r="F85" s="89">
        <v>3</v>
      </c>
      <c r="G85" s="99">
        <f>E85+(F85*2)</f>
        <v>9</v>
      </c>
      <c r="H85" s="174">
        <v>20</v>
      </c>
      <c r="I85" s="90">
        <f t="shared" si="2"/>
        <v>180</v>
      </c>
      <c r="J85" s="97">
        <f t="shared" si="3"/>
        <v>6</v>
      </c>
    </row>
    <row r="86" spans="2:10" ht="21" customHeight="1" thickBot="1">
      <c r="B86" s="171">
        <v>8</v>
      </c>
      <c r="C86" s="173" t="s">
        <v>314</v>
      </c>
      <c r="D86" s="91" t="s">
        <v>295</v>
      </c>
      <c r="E86" s="92">
        <v>1</v>
      </c>
      <c r="F86" s="92">
        <v>1</v>
      </c>
      <c r="G86" s="159">
        <f t="shared" si="4"/>
        <v>3</v>
      </c>
      <c r="H86" s="175">
        <v>200</v>
      </c>
      <c r="I86" s="93">
        <f t="shared" si="2"/>
        <v>600</v>
      </c>
      <c r="J86" s="94">
        <f t="shared" si="3"/>
        <v>20</v>
      </c>
    </row>
    <row r="87" spans="2:10" s="74" customFormat="1" ht="21" customHeight="1" thickBot="1">
      <c r="B87" s="154"/>
      <c r="C87" s="147"/>
      <c r="D87" s="86"/>
      <c r="E87" s="86"/>
      <c r="F87" s="86"/>
      <c r="G87" s="584" t="s">
        <v>334</v>
      </c>
      <c r="H87" s="585"/>
      <c r="I87" s="585"/>
      <c r="J87" s="87">
        <f>SUM(J79:J86)</f>
        <v>82.666666666666671</v>
      </c>
    </row>
    <row r="88" spans="2:10" ht="21" customHeight="1" thickBot="1"/>
    <row r="89" spans="2:10" ht="26.25" customHeight="1" thickBot="1">
      <c r="D89" s="554" t="s">
        <v>399</v>
      </c>
      <c r="E89" s="555"/>
      <c r="F89" s="555"/>
      <c r="G89" s="555"/>
      <c r="H89" s="555"/>
      <c r="I89" s="556"/>
    </row>
    <row r="90" spans="2:10" ht="26.25" customHeight="1">
      <c r="D90" s="551" t="s">
        <v>470</v>
      </c>
      <c r="E90" s="552"/>
      <c r="F90" s="552"/>
      <c r="G90" s="552"/>
      <c r="H90" s="552"/>
      <c r="I90" s="553"/>
    </row>
    <row r="91" spans="2:10" ht="26.25" customHeight="1">
      <c r="D91" s="164" t="s">
        <v>374</v>
      </c>
      <c r="E91" s="549" t="s">
        <v>199</v>
      </c>
      <c r="F91" s="549"/>
      <c r="G91" s="549"/>
      <c r="H91" s="549"/>
      <c r="I91" s="156" t="s">
        <v>24</v>
      </c>
    </row>
    <row r="92" spans="2:10" ht="30" customHeight="1">
      <c r="D92" s="157" t="s">
        <v>7</v>
      </c>
      <c r="E92" s="550" t="s">
        <v>397</v>
      </c>
      <c r="F92" s="550"/>
      <c r="G92" s="550"/>
      <c r="H92" s="550"/>
      <c r="I92" s="165">
        <f>J13</f>
        <v>0.52083333333333337</v>
      </c>
    </row>
    <row r="93" spans="2:10" ht="30" customHeight="1">
      <c r="D93" s="157" t="s">
        <v>9</v>
      </c>
      <c r="E93" s="550" t="s">
        <v>387</v>
      </c>
      <c r="F93" s="550"/>
      <c r="G93" s="550"/>
      <c r="H93" s="550"/>
      <c r="I93" s="165">
        <f>J20</f>
        <v>52.083333333333336</v>
      </c>
    </row>
    <row r="94" spans="2:10" ht="30" customHeight="1">
      <c r="D94" s="157" t="s">
        <v>11</v>
      </c>
      <c r="E94" s="550" t="s">
        <v>388</v>
      </c>
      <c r="F94" s="550"/>
      <c r="G94" s="550"/>
      <c r="H94" s="550"/>
      <c r="I94" s="165">
        <f>J27</f>
        <v>20.833333333333332</v>
      </c>
    </row>
    <row r="95" spans="2:10" ht="30" customHeight="1">
      <c r="D95" s="157" t="s">
        <v>13</v>
      </c>
      <c r="E95" s="550" t="s">
        <v>389</v>
      </c>
      <c r="F95" s="550"/>
      <c r="G95" s="550"/>
      <c r="H95" s="550"/>
      <c r="I95" s="165">
        <f>J34</f>
        <v>58.59375</v>
      </c>
    </row>
    <row r="96" spans="2:10" ht="30" customHeight="1">
      <c r="D96" s="157" t="s">
        <v>37</v>
      </c>
      <c r="E96" s="550" t="s">
        <v>390</v>
      </c>
      <c r="F96" s="550"/>
      <c r="G96" s="550"/>
      <c r="H96" s="550"/>
      <c r="I96" s="165">
        <f>J41</f>
        <v>0.78125</v>
      </c>
    </row>
    <row r="97" spans="4:9" ht="30" customHeight="1">
      <c r="D97" s="157" t="s">
        <v>39</v>
      </c>
      <c r="E97" s="550" t="s">
        <v>391</v>
      </c>
      <c r="F97" s="550"/>
      <c r="G97" s="550"/>
      <c r="H97" s="550"/>
      <c r="I97" s="165">
        <f>J48</f>
        <v>1.5625</v>
      </c>
    </row>
    <row r="98" spans="4:9" ht="30" customHeight="1">
      <c r="D98" s="157" t="s">
        <v>41</v>
      </c>
      <c r="E98" s="550" t="s">
        <v>392</v>
      </c>
      <c r="F98" s="550"/>
      <c r="G98" s="550"/>
      <c r="H98" s="550"/>
      <c r="I98" s="165">
        <f>J55</f>
        <v>2.6041666666666665</v>
      </c>
    </row>
    <row r="99" spans="4:9" ht="30" customHeight="1">
      <c r="D99" s="157" t="s">
        <v>43</v>
      </c>
      <c r="E99" s="550" t="s">
        <v>385</v>
      </c>
      <c r="F99" s="550"/>
      <c r="G99" s="550"/>
      <c r="H99" s="550"/>
      <c r="I99" s="165">
        <f>J73</f>
        <v>95.683333333333337</v>
      </c>
    </row>
    <row r="100" spans="4:9" ht="30" customHeight="1">
      <c r="D100" s="157" t="s">
        <v>324</v>
      </c>
      <c r="E100" s="550" t="s">
        <v>395</v>
      </c>
      <c r="F100" s="550"/>
      <c r="G100" s="550"/>
      <c r="H100" s="550"/>
      <c r="I100" s="165">
        <f>J87</f>
        <v>82.666666666666671</v>
      </c>
    </row>
    <row r="101" spans="4:9" ht="26.25" customHeight="1" thickBot="1">
      <c r="D101" s="581" t="s">
        <v>284</v>
      </c>
      <c r="E101" s="582"/>
      <c r="F101" s="582"/>
      <c r="G101" s="582"/>
      <c r="H101" s="583"/>
      <c r="I101" s="158">
        <f>SUM(I92:I100)</f>
        <v>315.32916666666665</v>
      </c>
    </row>
  </sheetData>
  <sheetProtection selectLockedCells="1" selectUnlockedCells="1"/>
  <mergeCells count="121">
    <mergeCell ref="E59:E60"/>
    <mergeCell ref="E77:E78"/>
    <mergeCell ref="G55:I55"/>
    <mergeCell ref="I45:I46"/>
    <mergeCell ref="I52:I53"/>
    <mergeCell ref="I24:I25"/>
    <mergeCell ref="D45:D46"/>
    <mergeCell ref="G45:G46"/>
    <mergeCell ref="H45:H46"/>
    <mergeCell ref="D59:D60"/>
    <mergeCell ref="E45:E46"/>
    <mergeCell ref="E52:E53"/>
    <mergeCell ref="F38:F39"/>
    <mergeCell ref="D24:D25"/>
    <mergeCell ref="G24:G25"/>
    <mergeCell ref="H24:H25"/>
    <mergeCell ref="J45:J46"/>
    <mergeCell ref="G87:I87"/>
    <mergeCell ref="G48:I48"/>
    <mergeCell ref="G41:I41"/>
    <mergeCell ref="F45:F46"/>
    <mergeCell ref="F52:F53"/>
    <mergeCell ref="F59:F60"/>
    <mergeCell ref="F77:F78"/>
    <mergeCell ref="G73:I73"/>
    <mergeCell ref="I59:I60"/>
    <mergeCell ref="I77:I78"/>
    <mergeCell ref="H77:H78"/>
    <mergeCell ref="G77:G78"/>
    <mergeCell ref="J77:J78"/>
    <mergeCell ref="J52:J53"/>
    <mergeCell ref="E17:E18"/>
    <mergeCell ref="E24:E25"/>
    <mergeCell ref="E31:E32"/>
    <mergeCell ref="E38:E39"/>
    <mergeCell ref="D38:D39"/>
    <mergeCell ref="G38:G39"/>
    <mergeCell ref="H38:H39"/>
    <mergeCell ref="I38:I39"/>
    <mergeCell ref="I31:I32"/>
    <mergeCell ref="J31:J32"/>
    <mergeCell ref="J38:J39"/>
    <mergeCell ref="G13:I13"/>
    <mergeCell ref="G20:I20"/>
    <mergeCell ref="G27:I27"/>
    <mergeCell ref="G34:I34"/>
    <mergeCell ref="B31:C32"/>
    <mergeCell ref="B2:J3"/>
    <mergeCell ref="J10:J11"/>
    <mergeCell ref="D17:D18"/>
    <mergeCell ref="G17:G18"/>
    <mergeCell ref="H17:H18"/>
    <mergeCell ref="I17:I18"/>
    <mergeCell ref="J17:J18"/>
    <mergeCell ref="D10:D11"/>
    <mergeCell ref="G10:G11"/>
    <mergeCell ref="H10:H11"/>
    <mergeCell ref="I10:I11"/>
    <mergeCell ref="B12:C12"/>
    <mergeCell ref="F10:F11"/>
    <mergeCell ref="F17:F18"/>
    <mergeCell ref="F24:F25"/>
    <mergeCell ref="F31:F32"/>
    <mergeCell ref="E10:E11"/>
    <mergeCell ref="D101:H101"/>
    <mergeCell ref="B36:B37"/>
    <mergeCell ref="C36:J37"/>
    <mergeCell ref="B38:C39"/>
    <mergeCell ref="B43:B44"/>
    <mergeCell ref="C43:J44"/>
    <mergeCell ref="B45:C46"/>
    <mergeCell ref="B50:B51"/>
    <mergeCell ref="C50:J51"/>
    <mergeCell ref="B52:C53"/>
    <mergeCell ref="B57:B58"/>
    <mergeCell ref="C57:J58"/>
    <mergeCell ref="B59:C60"/>
    <mergeCell ref="B75:B76"/>
    <mergeCell ref="C75:J76"/>
    <mergeCell ref="B77:C78"/>
    <mergeCell ref="D52:D53"/>
    <mergeCell ref="G52:G53"/>
    <mergeCell ref="H52:H53"/>
    <mergeCell ref="B54:C54"/>
    <mergeCell ref="D77:D78"/>
    <mergeCell ref="J59:J60"/>
    <mergeCell ref="H59:H60"/>
    <mergeCell ref="G59:G60"/>
    <mergeCell ref="E100:H100"/>
    <mergeCell ref="E94:H94"/>
    <mergeCell ref="E95:H95"/>
    <mergeCell ref="B19:C19"/>
    <mergeCell ref="B26:C26"/>
    <mergeCell ref="B33:C33"/>
    <mergeCell ref="B40:C40"/>
    <mergeCell ref="B47:C47"/>
    <mergeCell ref="B5:J6"/>
    <mergeCell ref="C8:J9"/>
    <mergeCell ref="B8:B9"/>
    <mergeCell ref="B15:B16"/>
    <mergeCell ref="C15:J16"/>
    <mergeCell ref="B22:B23"/>
    <mergeCell ref="C22:J23"/>
    <mergeCell ref="B29:B30"/>
    <mergeCell ref="C29:J30"/>
    <mergeCell ref="B10:C11"/>
    <mergeCell ref="B17:C18"/>
    <mergeCell ref="B24:C25"/>
    <mergeCell ref="J24:J25"/>
    <mergeCell ref="D31:D32"/>
    <mergeCell ref="G31:G32"/>
    <mergeCell ref="H31:H32"/>
    <mergeCell ref="E91:H91"/>
    <mergeCell ref="E92:H92"/>
    <mergeCell ref="E93:H93"/>
    <mergeCell ref="D90:I90"/>
    <mergeCell ref="D89:I89"/>
    <mergeCell ref="E96:H96"/>
    <mergeCell ref="E97:H97"/>
    <mergeCell ref="E98:H98"/>
    <mergeCell ref="E99:H99"/>
  </mergeCells>
  <pageMargins left="0.78749999999999998" right="0.78749999999999998" top="1.0527777777777778" bottom="1.0527777777777778" header="0.78749999999999998" footer="0.78749999999999998"/>
  <pageSetup paperSize="9" scale="64" firstPageNumber="0" orientation="landscape" horizontalDpi="300" verticalDpi="300" r:id="rId1"/>
  <headerFooter alignWithMargins="0">
    <oddHeader>&amp;C&amp;"Times New Roman,Normal"&amp;12&amp;A</oddHeader>
    <oddFooter>&amp;C&amp;"Times New Roman,Normal"&amp;12Página &amp;P</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35A29-D446-4134-88D7-0FED2CF1AFDE}">
  <sheetPr>
    <tabColor indexed="17"/>
  </sheetPr>
  <dimension ref="B1:Z37"/>
  <sheetViews>
    <sheetView showGridLines="0" topLeftCell="B1" zoomScale="85" zoomScaleNormal="85" workbookViewId="0">
      <selection activeCell="C29" sqref="C29"/>
    </sheetView>
  </sheetViews>
  <sheetFormatPr defaultRowHeight="24" customHeight="1"/>
  <cols>
    <col min="1" max="1" width="1.85546875" customWidth="1"/>
    <col min="2" max="2" width="19.7109375" customWidth="1"/>
    <col min="3" max="3" width="52.85546875" bestFit="1" customWidth="1"/>
    <col min="4" max="4" width="11.5703125" customWidth="1"/>
    <col min="5" max="5" width="10.85546875" bestFit="1" customWidth="1"/>
    <col min="6" max="6" width="11.5703125" customWidth="1"/>
    <col min="7" max="7" width="12.140625" customWidth="1"/>
    <col min="8" max="8" width="11.5703125" customWidth="1"/>
    <col min="9" max="9" width="13.28515625" customWidth="1"/>
    <col min="10" max="10" width="11.5703125" customWidth="1"/>
    <col min="11" max="11" width="14.85546875" customWidth="1"/>
    <col min="12" max="12" width="9.140625" customWidth="1"/>
  </cols>
  <sheetData>
    <row r="1" spans="2:11" ht="12.75"/>
    <row r="2" spans="2:11" s="104" customFormat="1" ht="15.75">
      <c r="B2" s="352" t="s">
        <v>347</v>
      </c>
      <c r="C2" s="352"/>
      <c r="D2" s="352"/>
      <c r="E2" s="352"/>
      <c r="F2" s="352"/>
      <c r="G2" s="352"/>
      <c r="H2" s="352"/>
      <c r="I2" s="352"/>
      <c r="J2" s="352"/>
      <c r="K2" s="352"/>
    </row>
    <row r="3" spans="2:11" ht="12.75"/>
    <row r="4" spans="2:11" s="104" customFormat="1" ht="15.75" customHeight="1">
      <c r="B4" s="353" t="s">
        <v>362</v>
      </c>
      <c r="C4" s="353"/>
      <c r="D4" s="353"/>
      <c r="E4" s="353"/>
      <c r="F4" s="353"/>
      <c r="G4" s="353"/>
      <c r="H4" s="353"/>
      <c r="I4" s="353"/>
      <c r="J4" s="353"/>
      <c r="K4" s="353"/>
    </row>
    <row r="5" spans="2:11" ht="12.75"/>
    <row r="6" spans="2:11" s="104" customFormat="1" ht="15.75" customHeight="1">
      <c r="B6" s="353" t="s">
        <v>346</v>
      </c>
      <c r="C6" s="353"/>
      <c r="D6" s="353"/>
      <c r="E6" s="353"/>
      <c r="F6" s="353"/>
      <c r="G6" s="353"/>
      <c r="H6" s="353"/>
      <c r="I6" s="353"/>
      <c r="J6" s="353"/>
      <c r="K6" s="353"/>
    </row>
    <row r="7" spans="2:11" ht="12.75"/>
    <row r="8" spans="2:11" ht="24" customHeight="1">
      <c r="B8" s="643" t="s">
        <v>360</v>
      </c>
      <c r="C8" s="643"/>
      <c r="D8" s="643"/>
      <c r="E8" s="643"/>
      <c r="F8" s="643"/>
      <c r="G8" s="643"/>
      <c r="H8" s="643"/>
      <c r="I8" s="643"/>
      <c r="J8" s="643"/>
      <c r="K8" s="644"/>
    </row>
    <row r="9" spans="2:11" ht="24" customHeight="1">
      <c r="B9" s="643"/>
      <c r="C9" s="643"/>
      <c r="D9" s="643"/>
      <c r="E9" s="643"/>
      <c r="F9" s="643"/>
      <c r="G9" s="643"/>
      <c r="H9" s="643"/>
      <c r="I9" s="643"/>
      <c r="J9" s="643"/>
      <c r="K9" s="644"/>
    </row>
    <row r="10" spans="2:11" ht="24" customHeight="1" thickBot="1">
      <c r="B10" s="1"/>
      <c r="C10" s="1"/>
      <c r="D10" s="1"/>
      <c r="E10" s="1"/>
      <c r="I10" s="1"/>
      <c r="J10" s="1"/>
      <c r="K10" s="1"/>
    </row>
    <row r="11" spans="2:11" ht="32.25" thickBot="1">
      <c r="B11" s="136" t="s">
        <v>348</v>
      </c>
      <c r="C11" s="641" t="str">
        <f>'II. PCFP Vigilante Diurno'!J5</f>
        <v>( ? )</v>
      </c>
      <c r="D11" s="642"/>
      <c r="E11" s="642"/>
      <c r="F11" s="542"/>
      <c r="H11" s="594" t="s">
        <v>191</v>
      </c>
      <c r="I11" s="595"/>
      <c r="J11" s="596" t="str">
        <f>'II. PCFP Vigilante Diurno'!AE5</f>
        <v>( ? )</v>
      </c>
      <c r="K11" s="597"/>
    </row>
    <row r="12" spans="2:11" ht="24" customHeight="1" thickBot="1"/>
    <row r="13" spans="2:11" ht="24" customHeight="1" thickBot="1">
      <c r="B13" s="638" t="s">
        <v>6</v>
      </c>
      <c r="C13" s="639"/>
      <c r="D13" s="639"/>
      <c r="E13" s="639"/>
      <c r="F13" s="640"/>
      <c r="H13" s="645" t="s">
        <v>192</v>
      </c>
      <c r="I13" s="646"/>
      <c r="J13" s="647" t="str">
        <f>'II. PCFP Vigilante Diurno'!AE8</f>
        <v>303/2025</v>
      </c>
      <c r="K13" s="648"/>
    </row>
    <row r="14" spans="2:11" ht="24" customHeight="1" thickBot="1">
      <c r="B14" s="112" t="s">
        <v>7</v>
      </c>
      <c r="C14" s="113" t="s">
        <v>8</v>
      </c>
      <c r="D14" s="114"/>
      <c r="E14" s="609">
        <f ca="1">'II. PCFP Vigilante Diurno'!AE11</f>
        <v>46001</v>
      </c>
      <c r="F14" s="610"/>
    </row>
    <row r="15" spans="2:11" ht="24" customHeight="1" thickBot="1">
      <c r="B15" s="107" t="s">
        <v>9</v>
      </c>
      <c r="C15" s="53" t="s">
        <v>10</v>
      </c>
      <c r="D15" s="4"/>
      <c r="E15" s="605" t="str">
        <f>'II. PCFP Vigilante Diurno'!AE12</f>
        <v>Paranaguá/PR</v>
      </c>
      <c r="F15" s="606"/>
      <c r="H15" s="645" t="s">
        <v>369</v>
      </c>
      <c r="I15" s="646"/>
      <c r="J15" s="647">
        <f>'II. PCFP Vigilante Diurno'!AE7</f>
        <v>1000000303</v>
      </c>
      <c r="K15" s="648"/>
    </row>
    <row r="16" spans="2:11" ht="24" customHeight="1">
      <c r="B16" s="107" t="s">
        <v>11</v>
      </c>
      <c r="C16" s="53" t="s">
        <v>12</v>
      </c>
      <c r="D16" s="137" t="str">
        <f>'II. PCFP Vigilante Diurno'!AD13</f>
        <v>CCT</v>
      </c>
      <c r="E16" s="607" t="str">
        <f>'II. PCFP Vigilante Diurno'!AE13</f>
        <v>PR000353/2024</v>
      </c>
      <c r="F16" s="608"/>
    </row>
    <row r="17" spans="2:11" ht="24" customHeight="1">
      <c r="B17" s="107" t="s">
        <v>13</v>
      </c>
      <c r="C17" s="53" t="s">
        <v>14</v>
      </c>
      <c r="D17" s="4"/>
      <c r="E17" s="605">
        <f>'II. PCFP Vigilante Diurno'!AE14</f>
        <v>30</v>
      </c>
      <c r="F17" s="606"/>
    </row>
    <row r="18" spans="2:11" ht="24" customHeight="1" thickBot="1">
      <c r="B18" s="109" t="s">
        <v>37</v>
      </c>
      <c r="C18" s="110" t="s">
        <v>349</v>
      </c>
      <c r="D18" s="111"/>
      <c r="E18" s="611">
        <f>'II. PCFP Vigilante Diurno'!AE30</f>
        <v>45323</v>
      </c>
      <c r="F18" s="612"/>
    </row>
    <row r="19" spans="2:11" ht="24" customHeight="1" thickBot="1"/>
    <row r="20" spans="2:11" ht="30.75" customHeight="1">
      <c r="B20" s="602" t="s">
        <v>359</v>
      </c>
      <c r="C20" s="603"/>
      <c r="D20" s="603"/>
      <c r="E20" s="603"/>
      <c r="F20" s="603"/>
      <c r="G20" s="603"/>
      <c r="H20" s="603"/>
      <c r="I20" s="603"/>
      <c r="J20" s="603"/>
      <c r="K20" s="604"/>
    </row>
    <row r="21" spans="2:11" ht="24" customHeight="1">
      <c r="B21" s="625" t="s">
        <v>354</v>
      </c>
      <c r="C21" s="626"/>
      <c r="D21" s="621" t="s">
        <v>350</v>
      </c>
      <c r="E21" s="622"/>
      <c r="F21" s="621" t="s">
        <v>351</v>
      </c>
      <c r="G21" s="622"/>
      <c r="H21" s="621" t="s">
        <v>352</v>
      </c>
      <c r="I21" s="622"/>
      <c r="J21" s="621" t="s">
        <v>353</v>
      </c>
      <c r="K21" s="627"/>
    </row>
    <row r="22" spans="2:11" ht="24" customHeight="1">
      <c r="B22" s="623" t="s">
        <v>144</v>
      </c>
      <c r="C22" s="624"/>
      <c r="D22" s="115" t="s">
        <v>31</v>
      </c>
      <c r="E22" s="116" t="s">
        <v>24</v>
      </c>
      <c r="F22" s="115" t="s">
        <v>31</v>
      </c>
      <c r="G22" s="116" t="s">
        <v>24</v>
      </c>
      <c r="H22" s="115" t="s">
        <v>31</v>
      </c>
      <c r="I22" s="116" t="s">
        <v>24</v>
      </c>
      <c r="J22" s="115" t="s">
        <v>31</v>
      </c>
      <c r="K22" s="120" t="s">
        <v>24</v>
      </c>
    </row>
    <row r="23" spans="2:11" ht="24" customHeight="1">
      <c r="B23" s="107" t="s">
        <v>7</v>
      </c>
      <c r="C23" s="75" t="s">
        <v>145</v>
      </c>
      <c r="D23" s="71">
        <f>'II. PCFP Vigilante Diurno'!AE162</f>
        <v>1</v>
      </c>
      <c r="E23" s="25">
        <f>'II. PCFP Vigilante Diurno'!AF162</f>
        <v>2958.8</v>
      </c>
      <c r="F23" s="71">
        <f>'III. PCFP Vigilante Noturno'!AE162</f>
        <v>1</v>
      </c>
      <c r="G23" s="25">
        <f>'III. PCFP Vigilante Noturno'!AF162</f>
        <v>3490.57</v>
      </c>
      <c r="H23" s="71">
        <f>'IV. PCFP Supervisor Diurno'!AE162</f>
        <v>1</v>
      </c>
      <c r="I23" s="25">
        <f>'IV. PCFP Supervisor Diurno'!AF162</f>
        <v>3413.8</v>
      </c>
      <c r="J23" s="71">
        <f>'V. PCFP Supervisor Noturno'!AE162</f>
        <v>1</v>
      </c>
      <c r="K23" s="122">
        <f>'V. PCFP Supervisor Noturno'!AF162</f>
        <v>4027.3500000000004</v>
      </c>
    </row>
    <row r="24" spans="2:11" ht="24" customHeight="1">
      <c r="B24" s="107" t="s">
        <v>9</v>
      </c>
      <c r="C24" s="75" t="s">
        <v>278</v>
      </c>
      <c r="D24" s="71">
        <f>'II. PCFP Vigilante Diurno'!AE163</f>
        <v>0.99289238880627273</v>
      </c>
      <c r="E24" s="25">
        <f>'II. PCFP Vigilante Diurno'!AF163</f>
        <v>2937.77</v>
      </c>
      <c r="F24" s="71">
        <f>'III. PCFP Vigilante Noturno'!AE163</f>
        <v>0.95607594175163368</v>
      </c>
      <c r="G24" s="25">
        <f>'III. PCFP Vigilante Noturno'!AF163</f>
        <v>3337.25</v>
      </c>
      <c r="H24" s="71">
        <f>'IV. PCFP Supervisor Diurno'!AE163</f>
        <v>0.96068018044407988</v>
      </c>
      <c r="I24" s="25">
        <f>'IV. PCFP Supervisor Diurno'!AF163</f>
        <v>3279.57</v>
      </c>
      <c r="J24" s="71">
        <f>'V. PCFP Supervisor Noturno'!AE163</f>
        <v>0.92876953828199682</v>
      </c>
      <c r="K24" s="122">
        <f>'V. PCFP Supervisor Noturno'!AF163</f>
        <v>3740.48</v>
      </c>
    </row>
    <row r="25" spans="2:11" ht="24" customHeight="1">
      <c r="B25" s="107" t="s">
        <v>11</v>
      </c>
      <c r="C25" s="75" t="s">
        <v>279</v>
      </c>
      <c r="D25" s="71">
        <f>'II. PCFP Vigilante Diurno'!AE164</f>
        <v>7.1099770177098814E-2</v>
      </c>
      <c r="E25" s="25">
        <f>'II. PCFP Vigilante Diurno'!AF164</f>
        <v>210.37</v>
      </c>
      <c r="F25" s="71">
        <f>'III. PCFP Vigilante Noturno'!AE164</f>
        <v>7.1097270646341429E-2</v>
      </c>
      <c r="G25" s="25">
        <f>'III. PCFP Vigilante Noturno'!AF164</f>
        <v>248.17000000000002</v>
      </c>
      <c r="H25" s="71">
        <f>'IV. PCFP Supervisor Diurno'!AE164</f>
        <v>7.1099654344132637E-2</v>
      </c>
      <c r="I25" s="25">
        <f>'IV. PCFP Supervisor Diurno'!AF164</f>
        <v>242.72</v>
      </c>
      <c r="J25" s="71">
        <f>'V. PCFP Supervisor Noturno'!AE164</f>
        <v>7.1098861534259497E-2</v>
      </c>
      <c r="K25" s="122">
        <f>'V. PCFP Supervisor Noturno'!AF164</f>
        <v>286.34000000000003</v>
      </c>
    </row>
    <row r="26" spans="2:11" ht="24" customHeight="1">
      <c r="B26" s="107" t="s">
        <v>13</v>
      </c>
      <c r="C26" s="75" t="s">
        <v>280</v>
      </c>
      <c r="D26" s="71">
        <f>'II. PCFP Vigilante Diurno'!AE165</f>
        <v>4.2049391895613339E-2</v>
      </c>
      <c r="E26" s="25">
        <f>'II. PCFP Vigilante Diurno'!AF165</f>
        <v>124.41574074074074</v>
      </c>
      <c r="F26" s="71">
        <f>'III. PCFP Vigilante Noturno'!AE165</f>
        <v>4.1293664337321963E-2</v>
      </c>
      <c r="G26" s="25">
        <f>'III. PCFP Vigilante Noturno'!AF165</f>
        <v>144.13842592592593</v>
      </c>
      <c r="H26" s="71">
        <f>'IV. PCFP Supervisor Diurno'!AE165</f>
        <v>4.1388791245988502E-2</v>
      </c>
      <c r="I26" s="25">
        <f>'IV. PCFP Supervisor Diurno'!AF165</f>
        <v>141.29305555555555</v>
      </c>
      <c r="J26" s="71">
        <f>'V. PCFP Supervisor Noturno'!AE165</f>
        <v>4.0740349894632481E-2</v>
      </c>
      <c r="K26" s="122">
        <f>'V. PCFP Supervisor Noturno'!AF165</f>
        <v>164.07564814814813</v>
      </c>
    </row>
    <row r="27" spans="2:11" ht="24" customHeight="1">
      <c r="B27" s="107" t="s">
        <v>37</v>
      </c>
      <c r="C27" s="75" t="s">
        <v>281</v>
      </c>
      <c r="D27" s="71">
        <f>'II. PCFP Vigilante Diurno'!AE166</f>
        <v>0.10657332927763506</v>
      </c>
      <c r="E27" s="25">
        <f>'II. PCFP Vigilante Diurno'!AF166</f>
        <v>315.32916666666665</v>
      </c>
      <c r="F27" s="71">
        <f>'III. PCFP Vigilante Noturno'!AE166</f>
        <v>9.0337442499840034E-2</v>
      </c>
      <c r="G27" s="25">
        <f>'III. PCFP Vigilante Noturno'!AF166</f>
        <v>315.32916666666665</v>
      </c>
      <c r="H27" s="71">
        <f>'IV. PCFP Supervisor Diurno'!AE166</f>
        <v>9.2368963227683704E-2</v>
      </c>
      <c r="I27" s="25">
        <f>'IV. PCFP Supervisor Diurno'!AF166</f>
        <v>315.32916666666665</v>
      </c>
      <c r="J27" s="71">
        <f>'V. PCFP Supervisor Noturno'!AE166</f>
        <v>7.8296936364275913E-2</v>
      </c>
      <c r="K27" s="122">
        <f>'V. PCFP Supervisor Noturno'!AF166</f>
        <v>315.32916666666665</v>
      </c>
    </row>
    <row r="28" spans="2:11" ht="24" customHeight="1">
      <c r="B28" s="598" t="s">
        <v>282</v>
      </c>
      <c r="C28" s="599"/>
      <c r="D28" s="117">
        <f t="shared" ref="D28:K28" si="0">SUM(D23:D27)</f>
        <v>2.2126148801566199</v>
      </c>
      <c r="E28" s="118">
        <f t="shared" si="0"/>
        <v>6546.6849074074071</v>
      </c>
      <c r="F28" s="117">
        <f t="shared" si="0"/>
        <v>2.1588043192351374</v>
      </c>
      <c r="G28" s="118">
        <f t="shared" si="0"/>
        <v>7535.4575925925919</v>
      </c>
      <c r="H28" s="117">
        <f t="shared" si="0"/>
        <v>2.1655375892618851</v>
      </c>
      <c r="I28" s="118">
        <f t="shared" si="0"/>
        <v>7392.7122222222233</v>
      </c>
      <c r="J28" s="117">
        <f t="shared" si="0"/>
        <v>2.1189056860751645</v>
      </c>
      <c r="K28" s="123">
        <f t="shared" si="0"/>
        <v>8533.5748148148141</v>
      </c>
    </row>
    <row r="29" spans="2:11" ht="24" customHeight="1">
      <c r="B29" s="107" t="s">
        <v>39</v>
      </c>
      <c r="C29" s="75" t="s">
        <v>283</v>
      </c>
      <c r="D29" s="71">
        <f>'II. PCFP Vigilante Diurno'!AE168</f>
        <v>0.52917060970663776</v>
      </c>
      <c r="E29" s="25">
        <f>'II. PCFP Vigilante Diurno'!AF168</f>
        <v>1565.71</v>
      </c>
      <c r="F29" s="71">
        <f>'III. PCFP Vigilante Noturno'!AE168</f>
        <v>0.51630249500797865</v>
      </c>
      <c r="G29" s="25">
        <f>'III. PCFP Vigilante Noturno'!AF168</f>
        <v>1802.19</v>
      </c>
      <c r="H29" s="71">
        <f>'IV. PCFP Supervisor Diurno'!AE168</f>
        <v>0.51790966078856404</v>
      </c>
      <c r="I29" s="25">
        <f>'IV. PCFP Supervisor Diurno'!AF168</f>
        <v>1768.04</v>
      </c>
      <c r="J29" s="71">
        <f>'V. PCFP Supervisor Noturno'!AE168</f>
        <v>0.50675754528411976</v>
      </c>
      <c r="K29" s="122">
        <f>'V. PCFP Supervisor Noturno'!AF168</f>
        <v>2040.89</v>
      </c>
    </row>
    <row r="30" spans="2:11" ht="24" customHeight="1" thickBot="1">
      <c r="B30" s="600" t="s">
        <v>284</v>
      </c>
      <c r="C30" s="601"/>
      <c r="D30" s="124">
        <f>SUM(D25:D29)</f>
        <v>2.9615079812136047</v>
      </c>
      <c r="E30" s="125">
        <f>E28+E29</f>
        <v>8112.3949074074071</v>
      </c>
      <c r="F30" s="124">
        <f>SUM(F25:F29)</f>
        <v>2.8778351917266196</v>
      </c>
      <c r="G30" s="125">
        <f>G28+G29</f>
        <v>9337.6475925925915</v>
      </c>
      <c r="H30" s="124">
        <f>SUM(H25:H29)</f>
        <v>2.8883046588682539</v>
      </c>
      <c r="I30" s="125">
        <f>I28+I29</f>
        <v>9160.7522222222233</v>
      </c>
      <c r="J30" s="124">
        <f>SUM(J25:J29)</f>
        <v>2.8157993791524518</v>
      </c>
      <c r="K30" s="126">
        <f>K28+K29</f>
        <v>10574.464814814814</v>
      </c>
    </row>
    <row r="31" spans="2:11" ht="13.5" thickBot="1"/>
    <row r="32" spans="2:11" ht="24" customHeight="1">
      <c r="B32" s="636" t="s">
        <v>354</v>
      </c>
      <c r="C32" s="637"/>
      <c r="D32" s="628" t="s">
        <v>350</v>
      </c>
      <c r="E32" s="629"/>
      <c r="F32" s="628" t="s">
        <v>351</v>
      </c>
      <c r="G32" s="629"/>
      <c r="H32" s="628" t="s">
        <v>352</v>
      </c>
      <c r="I32" s="629"/>
      <c r="J32" s="628" t="s">
        <v>353</v>
      </c>
      <c r="K32" s="630"/>
    </row>
    <row r="33" spans="2:26" ht="24" customHeight="1">
      <c r="B33" s="623" t="s">
        <v>355</v>
      </c>
      <c r="C33" s="624"/>
      <c r="D33" s="119" t="s">
        <v>366</v>
      </c>
      <c r="E33" s="116" t="s">
        <v>356</v>
      </c>
      <c r="F33" s="119" t="s">
        <v>366</v>
      </c>
      <c r="G33" s="116" t="s">
        <v>356</v>
      </c>
      <c r="H33" s="119" t="s">
        <v>366</v>
      </c>
      <c r="I33" s="116" t="s">
        <v>356</v>
      </c>
      <c r="J33" s="119" t="s">
        <v>366</v>
      </c>
      <c r="K33" s="116" t="s">
        <v>356</v>
      </c>
    </row>
    <row r="34" spans="2:26" ht="24" customHeight="1">
      <c r="B34" s="107" t="s">
        <v>41</v>
      </c>
      <c r="C34" s="75" t="s">
        <v>358</v>
      </c>
      <c r="D34" s="106">
        <f>'II. PCFP Vigilante Diurno'!AE19</f>
        <v>31</v>
      </c>
      <c r="E34" s="106">
        <f>'II. PCFP Vigilante Diurno'!AE20</f>
        <v>62</v>
      </c>
      <c r="F34" s="106">
        <f>'III. PCFP Vigilante Noturno'!AE19</f>
        <v>31</v>
      </c>
      <c r="G34" s="106">
        <f>'III. PCFP Vigilante Noturno'!AE20</f>
        <v>62</v>
      </c>
      <c r="H34" s="106">
        <f>'IV. PCFP Supervisor Diurno'!AE19</f>
        <v>1</v>
      </c>
      <c r="I34" s="106">
        <f>'IV. PCFP Supervisor Diurno'!AE20</f>
        <v>2</v>
      </c>
      <c r="J34" s="106">
        <f>'V. PCFP Supervisor Noturno'!AE19</f>
        <v>1</v>
      </c>
      <c r="K34" s="108">
        <f>'V. PCFP Supervisor Noturno'!AE20</f>
        <v>2</v>
      </c>
    </row>
    <row r="35" spans="2:26" ht="24" customHeight="1" thickBot="1">
      <c r="B35" s="631" t="s">
        <v>357</v>
      </c>
      <c r="C35" s="632"/>
      <c r="D35" s="633">
        <f>E34*E30</f>
        <v>502968.48425925925</v>
      </c>
      <c r="E35" s="634"/>
      <c r="F35" s="633">
        <f>G34*G30</f>
        <v>578934.1507407407</v>
      </c>
      <c r="G35" s="634"/>
      <c r="H35" s="633">
        <f>I34*I30</f>
        <v>18321.504444444447</v>
      </c>
      <c r="I35" s="634"/>
      <c r="J35" s="633">
        <f>K34*K30</f>
        <v>21148.929629629627</v>
      </c>
      <c r="K35" s="635"/>
    </row>
    <row r="36" spans="2:26" ht="15" customHeight="1">
      <c r="B36" s="613" t="s">
        <v>361</v>
      </c>
      <c r="C36" s="614"/>
      <c r="D36" s="617">
        <f>SUM(D35:K35)</f>
        <v>1121373.0690740743</v>
      </c>
      <c r="E36" s="617"/>
      <c r="F36" s="617"/>
      <c r="G36" s="617"/>
      <c r="H36" s="617"/>
      <c r="I36" s="617"/>
      <c r="J36" s="617"/>
      <c r="K36" s="618"/>
    </row>
    <row r="37" spans="2:26" ht="15" customHeight="1" thickBot="1">
      <c r="B37" s="615"/>
      <c r="C37" s="616"/>
      <c r="D37" s="619"/>
      <c r="E37" s="619"/>
      <c r="F37" s="619"/>
      <c r="G37" s="619"/>
      <c r="H37" s="619"/>
      <c r="I37" s="619"/>
      <c r="J37" s="619"/>
      <c r="K37" s="620"/>
      <c r="X37" s="121"/>
      <c r="Y37" s="121"/>
      <c r="Z37" s="121"/>
    </row>
  </sheetData>
  <mergeCells count="39">
    <mergeCell ref="B32:C32"/>
    <mergeCell ref="D32:E32"/>
    <mergeCell ref="F32:G32"/>
    <mergeCell ref="B4:K4"/>
    <mergeCell ref="B13:F13"/>
    <mergeCell ref="C11:F11"/>
    <mergeCell ref="B8:K9"/>
    <mergeCell ref="H15:I15"/>
    <mergeCell ref="H13:I13"/>
    <mergeCell ref="J15:K15"/>
    <mergeCell ref="J13:K13"/>
    <mergeCell ref="B6:K6"/>
    <mergeCell ref="B36:C37"/>
    <mergeCell ref="D36:K37"/>
    <mergeCell ref="D21:E21"/>
    <mergeCell ref="B22:C22"/>
    <mergeCell ref="B21:C21"/>
    <mergeCell ref="F21:G21"/>
    <mergeCell ref="H21:I21"/>
    <mergeCell ref="J21:K21"/>
    <mergeCell ref="H32:I32"/>
    <mergeCell ref="J32:K32"/>
    <mergeCell ref="B35:C35"/>
    <mergeCell ref="D35:E35"/>
    <mergeCell ref="F35:G35"/>
    <mergeCell ref="H35:I35"/>
    <mergeCell ref="J35:K35"/>
    <mergeCell ref="B33:C33"/>
    <mergeCell ref="B2:K2"/>
    <mergeCell ref="H11:I11"/>
    <mergeCell ref="J11:K11"/>
    <mergeCell ref="B28:C28"/>
    <mergeCell ref="B30:C30"/>
    <mergeCell ref="B20:K20"/>
    <mergeCell ref="E17:F17"/>
    <mergeCell ref="E16:F16"/>
    <mergeCell ref="E15:F15"/>
    <mergeCell ref="E14:F14"/>
    <mergeCell ref="E18:F18"/>
  </mergeCells>
  <pageMargins left="0.511811024" right="0.511811024" top="0.78740157499999996" bottom="0.78740157499999996" header="0.31496062000000002" footer="0.31496062000000002"/>
  <pageSetup paperSize="8" orientation="landscape" r:id="rId1"/>
  <ignoredErrors>
    <ignoredError sqref="D29 F29:G29 H29:I29 J29:K29 G30 E30:F30 H30:K30" formula="1"/>
  </ignoredError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A9753-4643-45AF-9FF4-941880EE7E71}">
  <sheetPr>
    <tabColor indexed="17"/>
  </sheetPr>
  <dimension ref="B2:D121"/>
  <sheetViews>
    <sheetView showGridLines="0" topLeftCell="A98" workbookViewId="0">
      <selection activeCell="D121" sqref="D121"/>
    </sheetView>
  </sheetViews>
  <sheetFormatPr defaultRowHeight="12.75"/>
  <cols>
    <col min="1" max="1" width="3.7109375" customWidth="1"/>
    <col min="2" max="2" width="129.85546875" bestFit="1" customWidth="1"/>
    <col min="4" max="4" width="12.5703125" bestFit="1" customWidth="1"/>
  </cols>
  <sheetData>
    <row r="2" spans="2:2" ht="21" customHeight="1">
      <c r="B2" s="95" t="s">
        <v>335</v>
      </c>
    </row>
    <row r="3" spans="2:2" ht="13.5" thickBot="1"/>
    <row r="4" spans="2:2" ht="31.5" thickBot="1">
      <c r="B4" s="98" t="s">
        <v>337</v>
      </c>
    </row>
    <row r="121" spans="4:4">
      <c r="D121" s="259"/>
    </row>
  </sheetData>
  <pageMargins left="0.511811024" right="0.511811024" top="0.78740157499999996" bottom="0.78740157499999996" header="0.31496062000000002" footer="0.31496062000000002"/>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11</vt:i4>
      </vt:variant>
    </vt:vector>
  </HeadingPairs>
  <TitlesOfParts>
    <vt:vector size="21" baseType="lpstr">
      <vt:lpstr>Custos e Fomação de Preços </vt:lpstr>
      <vt:lpstr>Cálculo-Remuneração</vt:lpstr>
      <vt:lpstr>I. Considerações Iniciais</vt:lpstr>
      <vt:lpstr>II. PCFP Vigilante Diurno</vt:lpstr>
      <vt:lpstr>III. PCFP Vigilante Noturno</vt:lpstr>
      <vt:lpstr>IV. PCFP Supervisor Diurno</vt:lpstr>
      <vt:lpstr>V. PCFP Supervisor Noturno</vt:lpstr>
      <vt:lpstr>VI. Insumos Diversos</vt:lpstr>
      <vt:lpstr>VII. Quadro-Resumo PCFP</vt:lpstr>
      <vt:lpstr>VIII. CCT VGT 2024-2026</vt:lpstr>
      <vt:lpstr>'Custos e Fomação de Preços '!Area_de_impressao</vt:lpstr>
      <vt:lpstr>'I. Considerações Iniciais'!Area_de_impressao</vt:lpstr>
      <vt:lpstr>'II. PCFP Vigilante Diurno'!Area_de_impressao</vt:lpstr>
      <vt:lpstr>'III. PCFP Vigilante Noturno'!Area_de_impressao</vt:lpstr>
      <vt:lpstr>'IV. PCFP Supervisor Diurno'!Area_de_impressao</vt:lpstr>
      <vt:lpstr>'V. PCFP Supervisor Noturno'!Area_de_impressao</vt:lpstr>
      <vt:lpstr>'Custos e Fomação de Preços '!Excel_BuiltIn_Print_Area</vt:lpstr>
      <vt:lpstr>'II. PCFP Vigilante Diurno'!Excel_BuiltIn_Print_Area</vt:lpstr>
      <vt:lpstr>'III. PCFP Vigilante Noturno'!Excel_BuiltIn_Print_Area</vt:lpstr>
      <vt:lpstr>'IV. PCFP Supervisor Diurno'!Excel_BuiltIn_Print_Area</vt:lpstr>
      <vt:lpstr>'V. PCFP Supervisor Noturno'!Excel_BuiltIn_Print_Area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Giovana Rodrigues de Assuncao</dc:creator>
  <cp:lastModifiedBy>Fillipe do Nascimento Costa</cp:lastModifiedBy>
  <cp:lastPrinted>2025-12-06T14:25:09Z</cp:lastPrinted>
  <dcterms:created xsi:type="dcterms:W3CDTF">2025-10-09T14:43:25Z</dcterms:created>
  <dcterms:modified xsi:type="dcterms:W3CDTF">2025-12-10T17:53:28Z</dcterms:modified>
</cp:coreProperties>
</file>